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updateLinks="never" codeName="DieseArbeitsmappe"/>
  <mc:AlternateContent xmlns:mc="http://schemas.openxmlformats.org/markup-compatibility/2006">
    <mc:Choice Requires="x15">
      <x15ac:absPath xmlns:x15ac="http://schemas.microsoft.com/office/spreadsheetml/2010/11/ac" url="http://intranet.mcd.local/produktmanagement/Preisliste/Händler-PL/"/>
    </mc:Choice>
  </mc:AlternateContent>
  <workbookProtection workbookAlgorithmName="SHA-512" workbookHashValue="wi5WSc4fa5UC6aHTQI2bpOrSiP6E8XTk374foUGRNzwb8J/rT+EbM2118wqZbDkqM+OBH0TbmqLhWoqX6rcg5g==" workbookSaltValue="YY3A78Zk7UDJlsyGGVJgAg==" workbookSpinCount="100000" lockStructure="1"/>
  <bookViews>
    <workbookView xWindow="0" yWindow="0" windowWidth="28770" windowHeight="12360" tabRatio="920" activeTab="4"/>
  </bookViews>
  <sheets>
    <sheet name="Übersicht" sheetId="36" r:id="rId1"/>
    <sheet name="TL³" sheetId="67" r:id="rId2"/>
    <sheet name="AC³" sheetId="65" r:id="rId3"/>
    <sheet name="PC³" sheetId="55" r:id="rId4"/>
    <sheet name="AN" sheetId="60" r:id="rId5"/>
    <sheet name="OV²" sheetId="43" r:id="rId6"/>
    <sheet name="Sonstiges" sheetId="41" state="hidden" r:id="rId7"/>
    <sheet name="EBM00256" sheetId="61" state="hidden" r:id="rId8"/>
    <sheet name="EBM00255" sheetId="64" state="hidden" r:id="rId9"/>
    <sheet name="EBM00231" sheetId="54" state="hidden" r:id="rId10"/>
    <sheet name="EBM00239" sheetId="59" state="hidden" r:id="rId11"/>
    <sheet name="EBM00241" sheetId="63" state="hidden" r:id="rId12"/>
    <sheet name="EBM00202" sheetId="58" state="hidden" r:id="rId13"/>
    <sheet name="Konfigurations-Bedingungen" sheetId="56" state="hidden" r:id="rId14"/>
    <sheet name="TL³ RS232 Konfig-Übersicht" sheetId="37" state="hidden" r:id="rId15"/>
    <sheet name="AC³ RS232 Konfig-Übersicht" sheetId="66" state="hidden" r:id="rId16"/>
  </sheets>
  <externalReferences>
    <externalReference r:id="rId17"/>
    <externalReference r:id="rId18"/>
    <externalReference r:id="rId19"/>
    <externalReference r:id="rId20"/>
  </externalReferences>
  <definedNames>
    <definedName name="Art_Navision">'[1]Art-Liste NAVISION'!$A$1:$D$10005</definedName>
    <definedName name="Date">'[2]Product list'!$K$4</definedName>
    <definedName name="_xlnm.Print_Area" localSheetId="2">AC³!$A$1:$U$159</definedName>
    <definedName name="_xlnm.Print_Area" localSheetId="4">AN!$A$1:$U$82</definedName>
    <definedName name="_xlnm.Print_Area" localSheetId="12">'EBM00202'!$A$1:$K$41</definedName>
    <definedName name="_xlnm.Print_Area" localSheetId="9">'EBM00231'!$A$1:$L$125</definedName>
    <definedName name="_xlnm.Print_Area" localSheetId="11">'EBM00241'!$A$1:$K$59</definedName>
    <definedName name="_xlnm.Print_Area" localSheetId="8">'EBM00255'!$A$1:$K$180</definedName>
    <definedName name="_xlnm.Print_Area" localSheetId="7">'EBM00256'!$A$1:$K$196</definedName>
    <definedName name="_xlnm.Print_Area" localSheetId="5">OV²!$A$1:$U$55</definedName>
    <definedName name="_xlnm.Print_Area" localSheetId="3">PC³!$A$1:$U$114</definedName>
    <definedName name="_xlnm.Print_Area" localSheetId="6">Sonstiges!$A$1:$Q$30</definedName>
    <definedName name="_xlnm.Print_Area" localSheetId="1">TL³!$A$1:$U$138</definedName>
    <definedName name="_xlnm.Print_Area" localSheetId="0">Übersicht!$A$1:$H$12</definedName>
    <definedName name="_xlnm.Print_Titles" localSheetId="7">'EBM00256'!$1:$3</definedName>
    <definedName name="product_list">'[2]Product list'!$B:$K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2" i="60" l="1"/>
  <c r="L32" i="60"/>
  <c r="P32" i="60" s="1"/>
  <c r="L31" i="60"/>
  <c r="P31" i="60" s="1"/>
  <c r="L30" i="60"/>
  <c r="P30" i="60" s="1"/>
  <c r="N30" i="60" l="1"/>
  <c r="N31" i="60"/>
  <c r="E46" i="60"/>
  <c r="E31" i="60" l="1"/>
  <c r="E30" i="60"/>
  <c r="E29" i="60"/>
  <c r="E28" i="60"/>
  <c r="E27" i="60"/>
  <c r="L27" i="60" s="1"/>
  <c r="E26" i="60"/>
  <c r="L26" i="60" s="1"/>
  <c r="E25" i="60"/>
  <c r="L25" i="60" s="1"/>
  <c r="E24" i="60"/>
  <c r="L24" i="60" s="1"/>
  <c r="E23" i="60"/>
  <c r="L23" i="60" s="1"/>
  <c r="E22" i="60"/>
  <c r="L22" i="60" s="1"/>
  <c r="E21" i="60"/>
  <c r="L21" i="60" s="1"/>
  <c r="E20" i="60"/>
  <c r="L20" i="60" s="1"/>
  <c r="E19" i="60"/>
  <c r="L19" i="60" s="1"/>
  <c r="E18" i="60"/>
  <c r="L18" i="60" s="1"/>
  <c r="E17" i="60"/>
  <c r="L17" i="60" s="1"/>
  <c r="E16" i="60"/>
  <c r="L16" i="60" s="1"/>
  <c r="E15" i="60"/>
  <c r="L15" i="60" s="1"/>
  <c r="E14" i="60"/>
  <c r="L14" i="60" s="1"/>
  <c r="E13" i="60"/>
  <c r="L13" i="60" s="1"/>
  <c r="E12" i="60"/>
  <c r="L12" i="60" s="1"/>
  <c r="E11" i="60"/>
  <c r="L11" i="60" s="1"/>
  <c r="E10" i="60"/>
  <c r="L10" i="60" s="1"/>
  <c r="L29" i="60"/>
  <c r="E32" i="60"/>
  <c r="N29" i="60" l="1"/>
  <c r="P29" i="60"/>
  <c r="P27" i="60"/>
  <c r="N27" i="60"/>
  <c r="P26" i="60"/>
  <c r="N26" i="60"/>
  <c r="N25" i="60"/>
  <c r="P25" i="60"/>
  <c r="P24" i="60"/>
  <c r="N24" i="60"/>
  <c r="P23" i="60"/>
  <c r="N23" i="60"/>
  <c r="P22" i="60"/>
  <c r="N22" i="60"/>
  <c r="P21" i="60"/>
  <c r="N21" i="60"/>
  <c r="P20" i="60"/>
  <c r="N20" i="60"/>
  <c r="P19" i="60"/>
  <c r="N19" i="60"/>
  <c r="P18" i="60"/>
  <c r="N18" i="60"/>
  <c r="P17" i="60"/>
  <c r="N17" i="60"/>
  <c r="P16" i="60"/>
  <c r="P15" i="60"/>
  <c r="N15" i="60"/>
  <c r="P14" i="60"/>
  <c r="N14" i="60"/>
  <c r="P13" i="60"/>
  <c r="N13" i="60"/>
  <c r="P12" i="60"/>
  <c r="N12" i="60"/>
  <c r="N11" i="60"/>
  <c r="P11" i="60"/>
  <c r="P10" i="60"/>
  <c r="N10" i="60"/>
  <c r="U29" i="60" l="1"/>
  <c r="U27" i="60"/>
  <c r="U26" i="60"/>
  <c r="U25" i="60"/>
  <c r="U24" i="60"/>
  <c r="U23" i="60"/>
  <c r="U22" i="60"/>
  <c r="U21" i="60"/>
  <c r="U20" i="60"/>
  <c r="U19" i="60"/>
  <c r="U18" i="60"/>
  <c r="U17" i="60"/>
  <c r="U16" i="60"/>
  <c r="U15" i="60"/>
  <c r="U14" i="60"/>
  <c r="U13" i="60"/>
  <c r="U12" i="60"/>
  <c r="U11" i="60"/>
  <c r="U10" i="60"/>
  <c r="E79" i="65" l="1"/>
  <c r="E78" i="65"/>
  <c r="E77" i="65"/>
  <c r="E76" i="65"/>
  <c r="O53" i="60" l="1"/>
  <c r="O48" i="60"/>
  <c r="O80" i="55"/>
  <c r="O77" i="55"/>
  <c r="O102" i="67"/>
  <c r="O100" i="67"/>
  <c r="O84" i="67"/>
  <c r="O118" i="65"/>
  <c r="O96" i="65"/>
  <c r="O81" i="65"/>
  <c r="O75" i="67"/>
  <c r="O70" i="67"/>
  <c r="O58" i="67"/>
  <c r="E73" i="67"/>
  <c r="E72" i="67"/>
  <c r="E71" i="67"/>
  <c r="R72" i="65" l="1"/>
  <c r="R69" i="65"/>
  <c r="R66" i="65"/>
  <c r="N13" i="65"/>
  <c r="E125" i="65"/>
  <c r="E45" i="65"/>
  <c r="B147" i="65" l="1"/>
  <c r="B107" i="55"/>
  <c r="U63" i="55" l="1"/>
  <c r="U59" i="55" l="1"/>
  <c r="E56" i="55"/>
  <c r="E57" i="55"/>
  <c r="E58" i="55"/>
  <c r="S48" i="55"/>
  <c r="S49" i="55"/>
  <c r="E55" i="55"/>
  <c r="E92" i="55"/>
  <c r="U38" i="55"/>
  <c r="U39" i="55"/>
  <c r="E35" i="55"/>
  <c r="E36" i="55"/>
  <c r="E37" i="55"/>
  <c r="E31" i="55"/>
  <c r="E32" i="55"/>
  <c r="E33" i="55"/>
  <c r="E34" i="55"/>
  <c r="E27" i="55"/>
  <c r="E19" i="55"/>
  <c r="E16" i="55"/>
  <c r="L16" i="55" s="1"/>
  <c r="O16" i="55" s="1"/>
  <c r="E25" i="55"/>
  <c r="E26" i="55"/>
  <c r="E22" i="55"/>
  <c r="E18" i="55"/>
  <c r="L18" i="55" s="1"/>
  <c r="O18" i="55" s="1"/>
  <c r="P16" i="55" l="1"/>
  <c r="N16" i="55"/>
  <c r="P18" i="55"/>
  <c r="N18" i="55"/>
  <c r="U16" i="55" l="1"/>
  <c r="U18" i="55"/>
  <c r="U51" i="65" l="1"/>
  <c r="U52" i="65"/>
  <c r="U53" i="65"/>
  <c r="U54" i="65"/>
  <c r="U55" i="65"/>
  <c r="U61" i="65"/>
  <c r="U63" i="65"/>
  <c r="U74" i="65"/>
  <c r="U80" i="65"/>
  <c r="U81" i="65"/>
  <c r="U85" i="65"/>
  <c r="U87" i="65"/>
  <c r="U91" i="65"/>
  <c r="U92" i="65"/>
  <c r="U95" i="65"/>
  <c r="U96" i="65"/>
  <c r="U100" i="65"/>
  <c r="U101" i="65"/>
  <c r="U102" i="65"/>
  <c r="U103" i="65"/>
  <c r="U104" i="65"/>
  <c r="U105" i="65"/>
  <c r="U117" i="65"/>
  <c r="U118" i="65"/>
  <c r="U122" i="65"/>
  <c r="U126" i="65"/>
  <c r="U127" i="65"/>
  <c r="U128" i="65"/>
  <c r="U135" i="65"/>
  <c r="U136" i="65"/>
  <c r="U32" i="67"/>
  <c r="U33" i="67"/>
  <c r="U34" i="67"/>
  <c r="U36" i="67"/>
  <c r="U37" i="67"/>
  <c r="U38" i="67"/>
  <c r="U44" i="67"/>
  <c r="U46" i="67"/>
  <c r="U48" i="67"/>
  <c r="U49" i="67"/>
  <c r="U51" i="67"/>
  <c r="U52" i="67"/>
  <c r="U54" i="67"/>
  <c r="U57" i="67"/>
  <c r="U58" i="67"/>
  <c r="U62" i="67"/>
  <c r="U63" i="67"/>
  <c r="U64" i="67"/>
  <c r="U69" i="67"/>
  <c r="U70" i="67"/>
  <c r="U74" i="67"/>
  <c r="U75" i="67"/>
  <c r="U80" i="67"/>
  <c r="U81" i="67"/>
  <c r="U82" i="67"/>
  <c r="U83" i="67"/>
  <c r="U84" i="67"/>
  <c r="U85" i="67"/>
  <c r="U99" i="67"/>
  <c r="U100" i="67"/>
  <c r="U102" i="67"/>
  <c r="U104" i="67"/>
  <c r="U107" i="67"/>
  <c r="U108" i="67"/>
  <c r="U109" i="67"/>
  <c r="U116" i="67"/>
  <c r="U117" i="67"/>
  <c r="U40" i="55"/>
  <c r="U43" i="55"/>
  <c r="U45" i="55"/>
  <c r="U46" i="55"/>
  <c r="U48" i="55"/>
  <c r="U49" i="55"/>
  <c r="U51" i="55"/>
  <c r="U65" i="55"/>
  <c r="U67" i="55"/>
  <c r="U69" i="55"/>
  <c r="U71" i="55"/>
  <c r="U76" i="55"/>
  <c r="U77" i="55"/>
  <c r="U79" i="55"/>
  <c r="U80" i="55"/>
  <c r="U82" i="55"/>
  <c r="U86" i="55"/>
  <c r="U87" i="55"/>
  <c r="U88" i="55"/>
  <c r="U89" i="55"/>
  <c r="U96" i="55"/>
  <c r="U97" i="55"/>
  <c r="U31" i="43"/>
  <c r="U38" i="43"/>
  <c r="U39" i="43"/>
  <c r="E24" i="55" l="1"/>
  <c r="L92" i="55" l="1"/>
  <c r="N92" i="55" s="1"/>
  <c r="L34" i="55"/>
  <c r="O34" i="55" s="1"/>
  <c r="E23" i="55"/>
  <c r="L37" i="55"/>
  <c r="O37" i="55" s="1"/>
  <c r="L31" i="55"/>
  <c r="L33" i="55"/>
  <c r="O33" i="55" s="1"/>
  <c r="L32" i="55"/>
  <c r="O32" i="55" s="1"/>
  <c r="L35" i="55"/>
  <c r="O35" i="55" s="1"/>
  <c r="L25" i="55"/>
  <c r="O25" i="55" s="1"/>
  <c r="L36" i="55"/>
  <c r="O36" i="55" s="1"/>
  <c r="P25" i="55" l="1"/>
  <c r="N25" i="55"/>
  <c r="N35" i="55"/>
  <c r="P35" i="55"/>
  <c r="P33" i="55"/>
  <c r="N33" i="55"/>
  <c r="P31" i="55"/>
  <c r="N31" i="55"/>
  <c r="N37" i="55"/>
  <c r="P37" i="55"/>
  <c r="N32" i="55"/>
  <c r="P32" i="55"/>
  <c r="P36" i="55"/>
  <c r="N36" i="55"/>
  <c r="P34" i="55"/>
  <c r="N34" i="55"/>
  <c r="L18" i="43"/>
  <c r="O18" i="43" s="1"/>
  <c r="U32" i="55" l="1"/>
  <c r="U25" i="55"/>
  <c r="U31" i="55"/>
  <c r="U36" i="55"/>
  <c r="U34" i="55"/>
  <c r="U33" i="55"/>
  <c r="U35" i="55"/>
  <c r="U37" i="55"/>
  <c r="I19" i="41" l="1"/>
  <c r="Q19" i="41" s="1"/>
  <c r="C19" i="41"/>
  <c r="I18" i="41"/>
  <c r="Q18" i="41" s="1"/>
  <c r="C18" i="41"/>
  <c r="I17" i="41"/>
  <c r="Q17" i="41" s="1"/>
  <c r="C17" i="41"/>
  <c r="I16" i="41"/>
  <c r="Q16" i="41" s="1"/>
  <c r="C16" i="41"/>
  <c r="I15" i="41"/>
  <c r="Q15" i="41" s="1"/>
  <c r="C15" i="41"/>
  <c r="B50" i="43"/>
  <c r="B77" i="60"/>
  <c r="B109" i="55"/>
  <c r="B154" i="65"/>
  <c r="B132" i="67"/>
  <c r="O16" i="41" l="1"/>
  <c r="O18" i="41"/>
  <c r="O15" i="41"/>
  <c r="O17" i="41"/>
  <c r="O19" i="41"/>
  <c r="J44" i="60"/>
  <c r="J41" i="60"/>
  <c r="J72" i="65"/>
  <c r="J69" i="65"/>
  <c r="J66" i="65"/>
  <c r="J53" i="67"/>
  <c r="J50" i="67"/>
  <c r="J50" i="55"/>
  <c r="J47" i="55"/>
  <c r="L43" i="60" l="1"/>
  <c r="L40" i="60"/>
  <c r="B106" i="55"/>
  <c r="L49" i="55"/>
  <c r="E49" i="55" s="1"/>
  <c r="L46" i="55"/>
  <c r="E46" i="55" s="1"/>
  <c r="N40" i="60" l="1"/>
  <c r="E40" i="60"/>
  <c r="N43" i="60"/>
  <c r="B75" i="60" s="1"/>
  <c r="E43" i="60"/>
  <c r="B130" i="67"/>
  <c r="L52" i="67"/>
  <c r="E52" i="67" s="1"/>
  <c r="L49" i="67"/>
  <c r="E49" i="67" s="1"/>
  <c r="B137" i="67" l="1"/>
  <c r="B127" i="67"/>
  <c r="B124" i="67"/>
  <c r="N115" i="67"/>
  <c r="L115" i="67"/>
  <c r="N114" i="67"/>
  <c r="L114" i="67"/>
  <c r="N113" i="67"/>
  <c r="L113" i="67"/>
  <c r="N112" i="67"/>
  <c r="L112" i="67"/>
  <c r="N111" i="67"/>
  <c r="L111" i="67"/>
  <c r="N110" i="67"/>
  <c r="L110" i="67"/>
  <c r="N101" i="67"/>
  <c r="E101" i="67"/>
  <c r="E97" i="67"/>
  <c r="E96" i="67"/>
  <c r="L82" i="67"/>
  <c r="O82" i="67" s="1"/>
  <c r="E68" i="67"/>
  <c r="E67" i="67"/>
  <c r="E66" i="67"/>
  <c r="N66" i="67" s="1"/>
  <c r="E65" i="67"/>
  <c r="E61" i="67"/>
  <c r="E60" i="67"/>
  <c r="E59" i="67"/>
  <c r="N56" i="67"/>
  <c r="N53" i="67"/>
  <c r="E43" i="67"/>
  <c r="N4" i="67"/>
  <c r="E4" i="67"/>
  <c r="L65" i="65"/>
  <c r="L71" i="65"/>
  <c r="L68" i="65"/>
  <c r="N65" i="65" l="1"/>
  <c r="E65" i="65"/>
  <c r="N71" i="65"/>
  <c r="E71" i="65"/>
  <c r="N68" i="65"/>
  <c r="E68" i="65"/>
  <c r="U113" i="67"/>
  <c r="U114" i="67"/>
  <c r="U115" i="67"/>
  <c r="U65" i="65"/>
  <c r="N67" i="67"/>
  <c r="N65" i="67"/>
  <c r="N68" i="67"/>
  <c r="I10" i="41" l="1"/>
  <c r="Q10" i="41" s="1"/>
  <c r="O10" i="41" s="1"/>
  <c r="I11" i="41"/>
  <c r="I12" i="41"/>
  <c r="Q12" i="41" s="1"/>
  <c r="O12" i="41" s="1"/>
  <c r="I13" i="41"/>
  <c r="Q13" i="41" s="1"/>
  <c r="I14" i="41"/>
  <c r="Q14" i="41" s="1"/>
  <c r="O14" i="41" s="1"/>
  <c r="I20" i="41"/>
  <c r="Q20" i="41" s="1"/>
  <c r="I21" i="41"/>
  <c r="Q21" i="41" s="1"/>
  <c r="O21" i="41" s="1"/>
  <c r="I22" i="41"/>
  <c r="I23" i="41"/>
  <c r="I9" i="41"/>
  <c r="I8" i="41"/>
  <c r="C12" i="41"/>
  <c r="C11" i="41"/>
  <c r="C10" i="41"/>
  <c r="C9" i="41"/>
  <c r="C8" i="41"/>
  <c r="C20" i="41"/>
  <c r="C14" i="41"/>
  <c r="C13" i="41"/>
  <c r="Q11" i="41" l="1"/>
  <c r="O11" i="41" s="1"/>
  <c r="O13" i="41"/>
  <c r="O20" i="41"/>
  <c r="E56" i="67" l="1"/>
  <c r="E55" i="67"/>
  <c r="N30" i="65" l="1"/>
  <c r="L102" i="65"/>
  <c r="D4" i="66"/>
  <c r="E4" i="66"/>
  <c r="F4" i="66"/>
  <c r="G4" i="66"/>
  <c r="H4" i="66"/>
  <c r="I4" i="66"/>
  <c r="J4" i="66"/>
  <c r="K4" i="66"/>
  <c r="L4" i="66"/>
  <c r="M4" i="66"/>
  <c r="N4" i="66"/>
  <c r="O4" i="66"/>
  <c r="P4" i="66"/>
  <c r="Q4" i="66"/>
  <c r="C4" i="66"/>
  <c r="B15" i="66"/>
  <c r="E116" i="65" s="1"/>
  <c r="B14" i="66"/>
  <c r="E115" i="65" s="1"/>
  <c r="P13" i="66"/>
  <c r="O13" i="66"/>
  <c r="N13" i="66"/>
  <c r="M13" i="66"/>
  <c r="L13" i="66"/>
  <c r="K13" i="66"/>
  <c r="J13" i="66"/>
  <c r="I13" i="66"/>
  <c r="H13" i="66"/>
  <c r="G13" i="66"/>
  <c r="F13" i="66"/>
  <c r="E13" i="66"/>
  <c r="D13" i="66"/>
  <c r="C13" i="66"/>
  <c r="B13" i="66"/>
  <c r="E114" i="65" s="1"/>
  <c r="Q12" i="66"/>
  <c r="Q13" i="66" s="1"/>
  <c r="B12" i="66"/>
  <c r="E113" i="65" s="1"/>
  <c r="B11" i="66"/>
  <c r="E112" i="65" s="1"/>
  <c r="B10" i="66"/>
  <c r="E111" i="65" s="1"/>
  <c r="B9" i="66"/>
  <c r="E110" i="65" s="1"/>
  <c r="B8" i="66"/>
  <c r="E109" i="65" s="1"/>
  <c r="B7" i="66"/>
  <c r="E108" i="65" s="1"/>
  <c r="B6" i="66"/>
  <c r="E107" i="65" s="1"/>
  <c r="L107" i="65" s="1"/>
  <c r="B5" i="66"/>
  <c r="E106" i="65" s="1"/>
  <c r="L106" i="65" s="1"/>
  <c r="N90" i="65"/>
  <c r="E89" i="65"/>
  <c r="B149" i="65"/>
  <c r="M72" i="65"/>
  <c r="N115" i="65" l="1"/>
  <c r="E120" i="65" s="1"/>
  <c r="L116" i="65"/>
  <c r="L109" i="65"/>
  <c r="L114" i="65"/>
  <c r="L110" i="65"/>
  <c r="L108" i="65"/>
  <c r="L111" i="65"/>
  <c r="L112" i="65"/>
  <c r="L113" i="65"/>
  <c r="L115" i="65"/>
  <c r="N111" i="65"/>
  <c r="N112" i="65"/>
  <c r="N108" i="65"/>
  <c r="N109" i="65"/>
  <c r="N110" i="65"/>
  <c r="N116" i="65"/>
  <c r="N113" i="65"/>
  <c r="N106" i="65"/>
  <c r="N114" i="65"/>
  <c r="N107" i="65"/>
  <c r="M66" i="65"/>
  <c r="M69" i="65"/>
  <c r="N27" i="65" l="1"/>
  <c r="B150" i="65"/>
  <c r="N31" i="65"/>
  <c r="E90" i="65" l="1"/>
  <c r="E60" i="65"/>
  <c r="E37" i="65" l="1"/>
  <c r="E38" i="65"/>
  <c r="E39" i="65"/>
  <c r="E22" i="65"/>
  <c r="E19" i="65"/>
  <c r="E17" i="65"/>
  <c r="E13" i="65" l="1"/>
  <c r="E14" i="65"/>
  <c r="E15" i="65"/>
  <c r="E16" i="65"/>
  <c r="E18" i="65"/>
  <c r="E20" i="65"/>
  <c r="E21" i="65"/>
  <c r="E23" i="65"/>
  <c r="E24" i="65"/>
  <c r="E25" i="65"/>
  <c r="E26" i="65"/>
  <c r="E27" i="65"/>
  <c r="E28" i="65"/>
  <c r="E29" i="65"/>
  <c r="E30" i="65"/>
  <c r="E31" i="65"/>
  <c r="E32" i="65"/>
  <c r="E33" i="65"/>
  <c r="E34" i="65"/>
  <c r="E35" i="65"/>
  <c r="E36" i="65"/>
  <c r="E40" i="65"/>
  <c r="E41" i="65"/>
  <c r="E42" i="65"/>
  <c r="E43" i="65"/>
  <c r="E44" i="65"/>
  <c r="E46" i="65"/>
  <c r="E47" i="65"/>
  <c r="E48" i="65"/>
  <c r="E49" i="65"/>
  <c r="E50" i="65"/>
  <c r="E11" i="65"/>
  <c r="E12" i="65"/>
  <c r="L45" i="65" l="1"/>
  <c r="O45" i="65" s="1"/>
  <c r="L66" i="65"/>
  <c r="L72" i="65"/>
  <c r="O72" i="65" s="1"/>
  <c r="L89" i="65"/>
  <c r="O89" i="65" s="1"/>
  <c r="L50" i="65"/>
  <c r="L48" i="65"/>
  <c r="L49" i="65"/>
  <c r="L46" i="65"/>
  <c r="L47" i="65"/>
  <c r="O66" i="65" l="1"/>
  <c r="P45" i="65"/>
  <c r="N45" i="65"/>
  <c r="N46" i="65"/>
  <c r="P46" i="65"/>
  <c r="N47" i="65"/>
  <c r="P47" i="65"/>
  <c r="N49" i="65"/>
  <c r="P49" i="65"/>
  <c r="N48" i="65"/>
  <c r="P48" i="65"/>
  <c r="N50" i="65"/>
  <c r="P50" i="65"/>
  <c r="P89" i="65"/>
  <c r="N89" i="65"/>
  <c r="U45" i="65" l="1"/>
  <c r="U49" i="65"/>
  <c r="U89" i="65"/>
  <c r="U47" i="65"/>
  <c r="U48" i="65"/>
  <c r="U50" i="65"/>
  <c r="U46" i="65"/>
  <c r="B145" i="65"/>
  <c r="E57" i="65" l="1"/>
  <c r="L134" i="65" l="1"/>
  <c r="L130" i="65"/>
  <c r="L131" i="65"/>
  <c r="L132" i="65"/>
  <c r="L133" i="65"/>
  <c r="L129" i="65"/>
  <c r="E133" i="65" l="1"/>
  <c r="N133" i="65"/>
  <c r="E134" i="65"/>
  <c r="N134" i="65"/>
  <c r="E129" i="65"/>
  <c r="N129" i="65"/>
  <c r="E132" i="65"/>
  <c r="N132" i="65"/>
  <c r="E131" i="65"/>
  <c r="N131" i="65"/>
  <c r="E130" i="65"/>
  <c r="N130" i="65"/>
  <c r="L79" i="65"/>
  <c r="N119" i="65"/>
  <c r="N120" i="65" s="1"/>
  <c r="E119" i="65"/>
  <c r="E98" i="65"/>
  <c r="L98" i="65" s="1"/>
  <c r="O98" i="65" s="1"/>
  <c r="E99" i="65"/>
  <c r="L99" i="65" s="1"/>
  <c r="O99" i="65" s="1"/>
  <c r="E97" i="65"/>
  <c r="L97" i="65" s="1"/>
  <c r="O97" i="65" s="1"/>
  <c r="E94" i="65"/>
  <c r="L94" i="65" s="1"/>
  <c r="O94" i="65" s="1"/>
  <c r="E93" i="65"/>
  <c r="L93" i="65" s="1"/>
  <c r="O93" i="65" s="1"/>
  <c r="E88" i="65"/>
  <c r="E82" i="65"/>
  <c r="E83" i="65"/>
  <c r="E84" i="65"/>
  <c r="L78" i="65"/>
  <c r="E75" i="65"/>
  <c r="L75" i="65" s="1"/>
  <c r="N72" i="65"/>
  <c r="N69" i="65"/>
  <c r="P75" i="65" l="1"/>
  <c r="O75" i="65"/>
  <c r="N79" i="65"/>
  <c r="O79" i="65"/>
  <c r="P78" i="65"/>
  <c r="O78" i="65"/>
  <c r="U130" i="65"/>
  <c r="U134" i="65"/>
  <c r="U132" i="65"/>
  <c r="U129" i="65"/>
  <c r="U131" i="65"/>
  <c r="U133" i="65"/>
  <c r="N23" i="65"/>
  <c r="P97" i="65"/>
  <c r="N97" i="65"/>
  <c r="P99" i="65"/>
  <c r="N99" i="65"/>
  <c r="P98" i="65"/>
  <c r="N98" i="65"/>
  <c r="P93" i="65"/>
  <c r="N93" i="65"/>
  <c r="P94" i="65"/>
  <c r="N94" i="65"/>
  <c r="N78" i="65"/>
  <c r="P79" i="65"/>
  <c r="U93" i="65" l="1"/>
  <c r="U99" i="65"/>
  <c r="U78" i="65"/>
  <c r="U79" i="65"/>
  <c r="U98" i="65"/>
  <c r="U94" i="65"/>
  <c r="U97" i="65"/>
  <c r="L67" i="65"/>
  <c r="B146" i="65" s="1"/>
  <c r="L64" i="65"/>
  <c r="L62" i="65"/>
  <c r="O62" i="65" s="1"/>
  <c r="E59" i="65"/>
  <c r="L59" i="65" s="1"/>
  <c r="E58" i="65"/>
  <c r="L58" i="65" s="1"/>
  <c r="L57" i="65"/>
  <c r="E56" i="65"/>
  <c r="L56" i="65" s="1"/>
  <c r="L125" i="65"/>
  <c r="N125" i="65" s="1"/>
  <c r="N56" i="65" l="1"/>
  <c r="O56" i="65"/>
  <c r="N57" i="65"/>
  <c r="O57" i="65"/>
  <c r="N58" i="65"/>
  <c r="O58" i="65"/>
  <c r="N59" i="65"/>
  <c r="O59" i="65"/>
  <c r="U125" i="65"/>
  <c r="P64" i="65"/>
  <c r="O64" i="65"/>
  <c r="L90" i="65"/>
  <c r="P72" i="65"/>
  <c r="L73" i="65"/>
  <c r="L86" i="65"/>
  <c r="L88" i="65"/>
  <c r="O88" i="65" s="1"/>
  <c r="L121" i="65"/>
  <c r="J121" i="65"/>
  <c r="P62" i="65"/>
  <c r="P66" i="65"/>
  <c r="N62" i="65"/>
  <c r="P56" i="65"/>
  <c r="U56" i="65" s="1"/>
  <c r="P59" i="65"/>
  <c r="P58" i="65"/>
  <c r="U58" i="65" s="1"/>
  <c r="P57" i="65"/>
  <c r="L42" i="65"/>
  <c r="L43" i="65"/>
  <c r="L44" i="65"/>
  <c r="O44" i="65" s="1"/>
  <c r="L36" i="65"/>
  <c r="O36" i="65" s="1"/>
  <c r="L37" i="65"/>
  <c r="O37" i="65" s="1"/>
  <c r="L38" i="65"/>
  <c r="O38" i="65" s="1"/>
  <c r="L39" i="65"/>
  <c r="L40" i="65"/>
  <c r="L41" i="65"/>
  <c r="O41" i="65" s="1"/>
  <c r="L11" i="65"/>
  <c r="O11" i="65" s="1"/>
  <c r="L12" i="65"/>
  <c r="O12" i="65" s="1"/>
  <c r="L13" i="65"/>
  <c r="O13" i="65" s="1"/>
  <c r="L14" i="65"/>
  <c r="L15" i="65"/>
  <c r="O15" i="65" s="1"/>
  <c r="L16" i="65"/>
  <c r="O16" i="65" s="1"/>
  <c r="L17" i="65"/>
  <c r="O17" i="65" s="1"/>
  <c r="L18" i="65"/>
  <c r="O18" i="65" s="1"/>
  <c r="L19" i="65"/>
  <c r="L20" i="65"/>
  <c r="O20" i="65" s="1"/>
  <c r="L21" i="65"/>
  <c r="O21" i="65" s="1"/>
  <c r="L22" i="65"/>
  <c r="L23" i="65"/>
  <c r="O23" i="65" s="1"/>
  <c r="L24" i="65"/>
  <c r="O24" i="65" s="1"/>
  <c r="L25" i="65"/>
  <c r="O25" i="65" s="1"/>
  <c r="L26" i="65"/>
  <c r="O26" i="65" s="1"/>
  <c r="L27" i="65"/>
  <c r="O27" i="65" s="1"/>
  <c r="L28" i="65"/>
  <c r="O28" i="65" s="1"/>
  <c r="L29" i="65"/>
  <c r="O29" i="65" s="1"/>
  <c r="L30" i="65"/>
  <c r="O30" i="65" s="1"/>
  <c r="L31" i="65"/>
  <c r="O31" i="65" s="1"/>
  <c r="L32" i="65"/>
  <c r="O32" i="65" s="1"/>
  <c r="L33" i="65"/>
  <c r="O33" i="65" s="1"/>
  <c r="L34" i="65"/>
  <c r="O34" i="65" s="1"/>
  <c r="L35" i="65"/>
  <c r="O35" i="65" s="1"/>
  <c r="E10" i="65"/>
  <c r="L10" i="65" s="1"/>
  <c r="N4" i="65"/>
  <c r="G4" i="65"/>
  <c r="E4" i="65"/>
  <c r="B159" i="65"/>
  <c r="L138" i="65"/>
  <c r="P22" i="65" l="1"/>
  <c r="O22" i="65"/>
  <c r="P14" i="65"/>
  <c r="O14" i="65"/>
  <c r="P90" i="65"/>
  <c r="O90" i="65"/>
  <c r="P19" i="65"/>
  <c r="O19" i="65"/>
  <c r="P43" i="65"/>
  <c r="O43" i="65"/>
  <c r="P42" i="65"/>
  <c r="O42" i="65"/>
  <c r="P40" i="65"/>
  <c r="O40" i="65"/>
  <c r="P39" i="65"/>
  <c r="O39" i="65"/>
  <c r="B151" i="65"/>
  <c r="B148" i="65"/>
  <c r="U59" i="65"/>
  <c r="U62" i="65"/>
  <c r="U66" i="65"/>
  <c r="U72" i="65"/>
  <c r="U90" i="65"/>
  <c r="U57" i="65"/>
  <c r="U64" i="65"/>
  <c r="P10" i="65"/>
  <c r="O10" i="65"/>
  <c r="T10" i="65" s="1"/>
  <c r="T137" i="65" s="1"/>
  <c r="T140" i="65" s="1"/>
  <c r="B153" i="65"/>
  <c r="J123" i="65"/>
  <c r="B142" i="65"/>
  <c r="E124" i="65"/>
  <c r="L124" i="65" s="1"/>
  <c r="P20" i="65"/>
  <c r="N20" i="65"/>
  <c r="P12" i="65"/>
  <c r="N12" i="65"/>
  <c r="P88" i="65"/>
  <c r="N88" i="65"/>
  <c r="P86" i="65"/>
  <c r="N86" i="65"/>
  <c r="B143" i="65" s="1"/>
  <c r="N121" i="65"/>
  <c r="S138" i="65"/>
  <c r="N138" i="65"/>
  <c r="N16" i="65"/>
  <c r="P16" i="65"/>
  <c r="P23" i="65"/>
  <c r="N37" i="65"/>
  <c r="P37" i="65"/>
  <c r="N29" i="65"/>
  <c r="P29" i="65"/>
  <c r="N21" i="65"/>
  <c r="P21" i="65"/>
  <c r="P13" i="65"/>
  <c r="N36" i="65"/>
  <c r="P36" i="65"/>
  <c r="N33" i="65"/>
  <c r="P33" i="65"/>
  <c r="N17" i="65"/>
  <c r="P17" i="65"/>
  <c r="N32" i="65"/>
  <c r="P32" i="65"/>
  <c r="P31" i="65"/>
  <c r="P30" i="65"/>
  <c r="N28" i="65"/>
  <c r="P28" i="65"/>
  <c r="N44" i="65"/>
  <c r="P44" i="65"/>
  <c r="N25" i="65"/>
  <c r="P25" i="65"/>
  <c r="N15" i="65"/>
  <c r="P15" i="65"/>
  <c r="N35" i="65"/>
  <c r="P35" i="65"/>
  <c r="P27" i="65"/>
  <c r="N11" i="65"/>
  <c r="P11" i="65"/>
  <c r="N24" i="65"/>
  <c r="P24" i="65"/>
  <c r="N38" i="65"/>
  <c r="P38" i="65"/>
  <c r="N34" i="65"/>
  <c r="P34" i="65"/>
  <c r="N26" i="65"/>
  <c r="P26" i="65"/>
  <c r="N18" i="65"/>
  <c r="P18" i="65"/>
  <c r="N41" i="65"/>
  <c r="P41" i="65"/>
  <c r="N22" i="65"/>
  <c r="N14" i="65"/>
  <c r="N10" i="65"/>
  <c r="N43" i="65"/>
  <c r="N19" i="65"/>
  <c r="N42" i="65"/>
  <c r="N39" i="65"/>
  <c r="N40" i="65"/>
  <c r="F123" i="65" l="1"/>
  <c r="E123" i="65"/>
  <c r="L123" i="65" s="1"/>
  <c r="P123" i="65" s="1"/>
  <c r="U14" i="65"/>
  <c r="U27" i="65"/>
  <c r="U44" i="65"/>
  <c r="U17" i="65"/>
  <c r="U20" i="65"/>
  <c r="U22" i="65"/>
  <c r="U34" i="65"/>
  <c r="U29" i="65"/>
  <c r="U121" i="65"/>
  <c r="U40" i="65"/>
  <c r="U35" i="65"/>
  <c r="U28" i="65"/>
  <c r="U33" i="65"/>
  <c r="U41" i="65"/>
  <c r="U42" i="65"/>
  <c r="U15" i="65"/>
  <c r="U36" i="65"/>
  <c r="U23" i="65"/>
  <c r="U88" i="65"/>
  <c r="U19" i="65"/>
  <c r="U18" i="65"/>
  <c r="U24" i="65"/>
  <c r="U13" i="65"/>
  <c r="U86" i="65"/>
  <c r="U39" i="65"/>
  <c r="U38" i="65"/>
  <c r="U30" i="65"/>
  <c r="U37" i="65"/>
  <c r="U31" i="65"/>
  <c r="U43" i="65"/>
  <c r="U25" i="65"/>
  <c r="U32" i="65"/>
  <c r="U16" i="65"/>
  <c r="U12" i="65"/>
  <c r="U26" i="65"/>
  <c r="U11" i="65"/>
  <c r="U21" i="65"/>
  <c r="N124" i="65"/>
  <c r="P124" i="65"/>
  <c r="U10" i="65"/>
  <c r="U124" i="65" l="1"/>
  <c r="N123" i="65"/>
  <c r="U123" i="65" l="1"/>
  <c r="L120" i="65" l="1"/>
  <c r="P120" i="65" s="1"/>
  <c r="L69" i="65"/>
  <c r="O69" i="65" s="1"/>
  <c r="P73" i="65"/>
  <c r="L77" i="65"/>
  <c r="O77" i="65" s="1"/>
  <c r="L76" i="65"/>
  <c r="O76" i="65" s="1"/>
  <c r="L119" i="65"/>
  <c r="P119" i="65" s="1"/>
  <c r="L84" i="65"/>
  <c r="O84" i="65" s="1"/>
  <c r="L82" i="65"/>
  <c r="O82" i="65" s="1"/>
  <c r="L83" i="65"/>
  <c r="O83" i="65" s="1"/>
  <c r="L60" i="65"/>
  <c r="O60" i="65" s="1"/>
  <c r="U119" i="65" l="1"/>
  <c r="U73" i="65"/>
  <c r="U120" i="65"/>
  <c r="P69" i="65"/>
  <c r="L70" i="65"/>
  <c r="P70" i="65" s="1"/>
  <c r="P77" i="65"/>
  <c r="N77" i="65"/>
  <c r="B144" i="65"/>
  <c r="P67" i="65"/>
  <c r="P76" i="65"/>
  <c r="N76" i="65"/>
  <c r="P83" i="65"/>
  <c r="N83" i="65"/>
  <c r="P82" i="65"/>
  <c r="N82" i="65"/>
  <c r="P84" i="65"/>
  <c r="N84" i="65"/>
  <c r="N60" i="65"/>
  <c r="P60" i="65"/>
  <c r="U67" i="65" l="1"/>
  <c r="U82" i="65"/>
  <c r="U60" i="65"/>
  <c r="U77" i="65"/>
  <c r="U84" i="65"/>
  <c r="U83" i="65"/>
  <c r="U70" i="65"/>
  <c r="U76" i="65"/>
  <c r="U69" i="65"/>
  <c r="N75" i="65"/>
  <c r="U33" i="60"/>
  <c r="U34" i="60"/>
  <c r="U35" i="60"/>
  <c r="U37" i="60"/>
  <c r="U39" i="60"/>
  <c r="U42" i="60"/>
  <c r="U45" i="60"/>
  <c r="U47" i="60"/>
  <c r="U48" i="60"/>
  <c r="U53" i="60"/>
  <c r="U57" i="60"/>
  <c r="U58" i="60"/>
  <c r="U17" i="43"/>
  <c r="U21" i="43"/>
  <c r="U22" i="43"/>
  <c r="U27" i="43"/>
  <c r="U29" i="43"/>
  <c r="U30" i="43"/>
  <c r="U15" i="43"/>
  <c r="U16" i="43"/>
  <c r="E33" i="43"/>
  <c r="E34" i="43"/>
  <c r="E35" i="43"/>
  <c r="E36" i="43"/>
  <c r="E37" i="43"/>
  <c r="E32" i="43"/>
  <c r="E26" i="43"/>
  <c r="E25" i="43"/>
  <c r="N4" i="43"/>
  <c r="G4" i="43"/>
  <c r="E4" i="43"/>
  <c r="E24" i="43"/>
  <c r="E23" i="43"/>
  <c r="E13" i="43"/>
  <c r="E12" i="43"/>
  <c r="U75" i="65" l="1"/>
  <c r="P18" i="43"/>
  <c r="U18" i="43" s="1"/>
  <c r="T18" i="43"/>
  <c r="T40" i="43" s="1"/>
  <c r="L35" i="43"/>
  <c r="N35" i="43" s="1"/>
  <c r="L32" i="43"/>
  <c r="N32" i="43" s="1"/>
  <c r="L24" i="43"/>
  <c r="L37" i="43"/>
  <c r="N37" i="43" s="1"/>
  <c r="L13" i="43"/>
  <c r="L36" i="43"/>
  <c r="N36" i="43" s="1"/>
  <c r="L23" i="43"/>
  <c r="L34" i="43"/>
  <c r="N34" i="43" s="1"/>
  <c r="L41" i="43"/>
  <c r="S41" i="43" s="1"/>
  <c r="E11" i="43"/>
  <c r="L11" i="43" s="1"/>
  <c r="L25" i="43"/>
  <c r="L33" i="43"/>
  <c r="N33" i="43" s="1"/>
  <c r="E14" i="43"/>
  <c r="L14" i="43" s="1"/>
  <c r="P14" i="43" s="1"/>
  <c r="L28" i="43"/>
  <c r="L12" i="43"/>
  <c r="E10" i="43"/>
  <c r="L10" i="43" s="1"/>
  <c r="L26" i="43"/>
  <c r="P11" i="43" l="1"/>
  <c r="O11" i="43"/>
  <c r="P10" i="43"/>
  <c r="O10" i="43"/>
  <c r="P26" i="43"/>
  <c r="O26" i="43"/>
  <c r="N12" i="43"/>
  <c r="O12" i="43"/>
  <c r="N23" i="43"/>
  <c r="O23" i="43"/>
  <c r="P13" i="43"/>
  <c r="O13" i="43"/>
  <c r="P28" i="43"/>
  <c r="O28" i="43"/>
  <c r="P25" i="43"/>
  <c r="O25" i="43"/>
  <c r="N24" i="43"/>
  <c r="O24" i="43"/>
  <c r="P24" i="43"/>
  <c r="U32" i="43"/>
  <c r="U36" i="43"/>
  <c r="U37" i="43"/>
  <c r="N13" i="43"/>
  <c r="U13" i="43" s="1"/>
  <c r="N10" i="43"/>
  <c r="U10" i="43" s="1"/>
  <c r="P12" i="43"/>
  <c r="N11" i="43"/>
  <c r="U11" i="43" s="1"/>
  <c r="P23" i="43"/>
  <c r="N28" i="43"/>
  <c r="N14" i="43"/>
  <c r="N25" i="43"/>
  <c r="N41" i="43"/>
  <c r="N26" i="43"/>
  <c r="U12" i="43" l="1"/>
  <c r="U24" i="43"/>
  <c r="U23" i="43"/>
  <c r="U28" i="43"/>
  <c r="U25" i="43"/>
  <c r="U14" i="43"/>
  <c r="U26" i="43"/>
  <c r="D14" i="37"/>
  <c r="E14" i="37"/>
  <c r="F14" i="37"/>
  <c r="G14" i="37"/>
  <c r="H14" i="37"/>
  <c r="I14" i="37"/>
  <c r="J14" i="37"/>
  <c r="K14" i="37"/>
  <c r="L14" i="37"/>
  <c r="M14" i="37"/>
  <c r="N14" i="37"/>
  <c r="O14" i="37"/>
  <c r="P14" i="37"/>
  <c r="Q14" i="37"/>
  <c r="R14" i="37"/>
  <c r="S14" i="37"/>
  <c r="T14" i="37"/>
  <c r="U14" i="37"/>
  <c r="V14" i="37"/>
  <c r="W14" i="37"/>
  <c r="X14" i="37"/>
  <c r="Y14" i="37"/>
  <c r="Z14" i="37"/>
  <c r="C14" i="37"/>
  <c r="B10" i="37"/>
  <c r="E90" i="67" s="1"/>
  <c r="B18" i="37"/>
  <c r="E98" i="67" s="1"/>
  <c r="U40" i="43" l="1"/>
  <c r="E78" i="67" l="1"/>
  <c r="L78" i="67" s="1"/>
  <c r="E77" i="67"/>
  <c r="E76" i="67"/>
  <c r="E42" i="67"/>
  <c r="E41" i="67"/>
  <c r="E40" i="67"/>
  <c r="E39" i="67"/>
  <c r="E115" i="67"/>
  <c r="E114" i="67"/>
  <c r="E113" i="67"/>
  <c r="E112" i="67"/>
  <c r="E111" i="67"/>
  <c r="E110" i="67"/>
  <c r="E31" i="67"/>
  <c r="E30" i="67"/>
  <c r="E29" i="67"/>
  <c r="E28" i="67"/>
  <c r="E27" i="67"/>
  <c r="E26" i="67"/>
  <c r="E25" i="67"/>
  <c r="E24" i="67"/>
  <c r="E23" i="67"/>
  <c r="E22" i="67"/>
  <c r="E21" i="67"/>
  <c r="E20" i="67"/>
  <c r="E19" i="67"/>
  <c r="E18" i="67"/>
  <c r="E17" i="67"/>
  <c r="E16" i="67"/>
  <c r="E15" i="67"/>
  <c r="E14" i="67"/>
  <c r="E13" i="67"/>
  <c r="E12" i="67"/>
  <c r="E11" i="67"/>
  <c r="P78" i="67" l="1"/>
  <c r="O78" i="67"/>
  <c r="N78" i="67"/>
  <c r="L24" i="67"/>
  <c r="L11" i="67"/>
  <c r="L16" i="67"/>
  <c r="O16" i="67" s="1"/>
  <c r="L22" i="67"/>
  <c r="O22" i="67" s="1"/>
  <c r="L17" i="67"/>
  <c r="O17" i="67" s="1"/>
  <c r="L28" i="67"/>
  <c r="O28" i="67" s="1"/>
  <c r="L12" i="67"/>
  <c r="O12" i="67" s="1"/>
  <c r="L20" i="67"/>
  <c r="O20" i="67" s="1"/>
  <c r="L15" i="67"/>
  <c r="O15" i="67" s="1"/>
  <c r="L23" i="67"/>
  <c r="O23" i="67" s="1"/>
  <c r="L31" i="67"/>
  <c r="L18" i="67"/>
  <c r="O18" i="67" s="1"/>
  <c r="L26" i="67"/>
  <c r="O26" i="67" s="1"/>
  <c r="L41" i="67"/>
  <c r="O41" i="67" s="1"/>
  <c r="L63" i="67"/>
  <c r="O63" i="67" s="1"/>
  <c r="L53" i="67"/>
  <c r="O53" i="67" s="1"/>
  <c r="L45" i="67"/>
  <c r="O45" i="67" s="1"/>
  <c r="L119" i="67"/>
  <c r="E10" i="67"/>
  <c r="L10" i="67" s="1"/>
  <c r="L50" i="67"/>
  <c r="L103" i="67"/>
  <c r="L47" i="67"/>
  <c r="J103" i="67"/>
  <c r="L35" i="67"/>
  <c r="O35" i="67" s="1"/>
  <c r="L67" i="67"/>
  <c r="L43" i="67"/>
  <c r="L73" i="67"/>
  <c r="O73" i="67" s="1"/>
  <c r="L72" i="67"/>
  <c r="O72" i="67" s="1"/>
  <c r="L76" i="67"/>
  <c r="O76" i="67" s="1"/>
  <c r="L68" i="67"/>
  <c r="L61" i="67"/>
  <c r="O61" i="67" s="1"/>
  <c r="L101" i="67"/>
  <c r="L65" i="67"/>
  <c r="L59" i="67"/>
  <c r="O59" i="67" s="1"/>
  <c r="L60" i="67"/>
  <c r="O60" i="67" s="1"/>
  <c r="L71" i="67"/>
  <c r="O71" i="67" s="1"/>
  <c r="L66" i="67"/>
  <c r="L77" i="67"/>
  <c r="O77" i="67" s="1"/>
  <c r="L55" i="67"/>
  <c r="L13" i="67"/>
  <c r="O13" i="67" s="1"/>
  <c r="L21" i="67"/>
  <c r="O21" i="67" s="1"/>
  <c r="L29" i="67"/>
  <c r="O29" i="67" s="1"/>
  <c r="L39" i="67"/>
  <c r="O39" i="67" s="1"/>
  <c r="L19" i="67"/>
  <c r="O19" i="67" s="1"/>
  <c r="L27" i="67"/>
  <c r="O27" i="67" s="1"/>
  <c r="L42" i="67"/>
  <c r="O42" i="67" s="1"/>
  <c r="L30" i="67"/>
  <c r="O30" i="67" s="1"/>
  <c r="L14" i="67"/>
  <c r="O14" i="67" s="1"/>
  <c r="L25" i="67"/>
  <c r="O25" i="67" s="1"/>
  <c r="L40" i="67"/>
  <c r="O40" i="67" s="1"/>
  <c r="U78" i="67" l="1"/>
  <c r="P55" i="67"/>
  <c r="O55" i="67"/>
  <c r="O10" i="67"/>
  <c r="T10" i="67" s="1"/>
  <c r="T118" i="67" s="1"/>
  <c r="T121" i="67" s="1"/>
  <c r="N11" i="67"/>
  <c r="O11" i="67"/>
  <c r="P101" i="67"/>
  <c r="O101" i="67"/>
  <c r="N24" i="67"/>
  <c r="O24" i="67"/>
  <c r="E106" i="67"/>
  <c r="L106" i="67" s="1"/>
  <c r="P68" i="67"/>
  <c r="O68" i="67"/>
  <c r="P66" i="67"/>
  <c r="U66" i="67" s="1"/>
  <c r="O66" i="67"/>
  <c r="P65" i="67"/>
  <c r="O65" i="67"/>
  <c r="P67" i="67"/>
  <c r="O67" i="67"/>
  <c r="L56" i="67"/>
  <c r="B125" i="67"/>
  <c r="N16" i="67"/>
  <c r="N55" i="67"/>
  <c r="B131" i="67"/>
  <c r="B126" i="67"/>
  <c r="P24" i="67"/>
  <c r="U24" i="67" s="1"/>
  <c r="U101" i="67"/>
  <c r="P11" i="67"/>
  <c r="U11" i="67" s="1"/>
  <c r="P47" i="67"/>
  <c r="O47" i="67"/>
  <c r="P16" i="67"/>
  <c r="O50" i="67"/>
  <c r="P61" i="67"/>
  <c r="N61" i="67"/>
  <c r="P59" i="67"/>
  <c r="N59" i="67"/>
  <c r="P60" i="67"/>
  <c r="N60" i="67"/>
  <c r="P35" i="67"/>
  <c r="N35" i="67"/>
  <c r="P53" i="67"/>
  <c r="P20" i="67"/>
  <c r="N20" i="67"/>
  <c r="P12" i="67"/>
  <c r="N12" i="67"/>
  <c r="P25" i="67"/>
  <c r="N25" i="67"/>
  <c r="N41" i="67"/>
  <c r="P41" i="67"/>
  <c r="P28" i="67"/>
  <c r="N28" i="67"/>
  <c r="N76" i="67"/>
  <c r="P76" i="67"/>
  <c r="N103" i="67"/>
  <c r="P103" i="67"/>
  <c r="J105" i="67"/>
  <c r="E105" i="67" s="1"/>
  <c r="L105" i="67" s="1"/>
  <c r="P26" i="67"/>
  <c r="N26" i="67"/>
  <c r="P17" i="67"/>
  <c r="N17" i="67"/>
  <c r="P77" i="67"/>
  <c r="N77" i="67"/>
  <c r="P72" i="67"/>
  <c r="N72" i="67"/>
  <c r="P50" i="67"/>
  <c r="P18" i="67"/>
  <c r="N18" i="67"/>
  <c r="P22" i="67"/>
  <c r="N22" i="67"/>
  <c r="P40" i="67"/>
  <c r="N40" i="67"/>
  <c r="P39" i="67"/>
  <c r="N39" i="67"/>
  <c r="P14" i="67"/>
  <c r="N14" i="67"/>
  <c r="P30" i="67"/>
  <c r="N30" i="67"/>
  <c r="N29" i="67"/>
  <c r="P29" i="67"/>
  <c r="P73" i="67"/>
  <c r="N73" i="67"/>
  <c r="P10" i="67"/>
  <c r="N10" i="67"/>
  <c r="P31" i="67"/>
  <c r="N31" i="67"/>
  <c r="P71" i="67"/>
  <c r="N71" i="67"/>
  <c r="N21" i="67"/>
  <c r="P21" i="67"/>
  <c r="P42" i="67"/>
  <c r="N42" i="67"/>
  <c r="N13" i="67"/>
  <c r="P13" i="67"/>
  <c r="P43" i="67"/>
  <c r="N43" i="67"/>
  <c r="S119" i="67"/>
  <c r="N119" i="67"/>
  <c r="P23" i="67"/>
  <c r="N23" i="67"/>
  <c r="N19" i="67"/>
  <c r="P19" i="67"/>
  <c r="N27" i="67"/>
  <c r="P27" i="67"/>
  <c r="P45" i="67"/>
  <c r="N45" i="67"/>
  <c r="P15" i="67"/>
  <c r="N15" i="67"/>
  <c r="P56" i="67" l="1"/>
  <c r="O56" i="67"/>
  <c r="U68" i="67"/>
  <c r="U65" i="67"/>
  <c r="U67" i="67"/>
  <c r="U15" i="67"/>
  <c r="U103" i="67"/>
  <c r="U73" i="67"/>
  <c r="U14" i="67"/>
  <c r="U18" i="67"/>
  <c r="U17" i="67"/>
  <c r="U25" i="67"/>
  <c r="U35" i="67"/>
  <c r="U27" i="67"/>
  <c r="U43" i="67"/>
  <c r="U21" i="67"/>
  <c r="U76" i="67"/>
  <c r="U29" i="67"/>
  <c r="U55" i="67"/>
  <c r="U60" i="67"/>
  <c r="U71" i="67"/>
  <c r="U50" i="67"/>
  <c r="U26" i="67"/>
  <c r="U12" i="67"/>
  <c r="U23" i="67"/>
  <c r="U13" i="67"/>
  <c r="U41" i="67"/>
  <c r="U20" i="67"/>
  <c r="U59" i="67"/>
  <c r="U47" i="67"/>
  <c r="U39" i="67"/>
  <c r="U28" i="67"/>
  <c r="U45" i="67"/>
  <c r="U19" i="67"/>
  <c r="U31" i="67"/>
  <c r="U40" i="67"/>
  <c r="U72" i="67"/>
  <c r="U42" i="67"/>
  <c r="U30" i="67"/>
  <c r="U22" i="67"/>
  <c r="U77" i="67"/>
  <c r="U16" i="67"/>
  <c r="U53" i="67"/>
  <c r="U61" i="67"/>
  <c r="N105" i="67"/>
  <c r="P105" i="67"/>
  <c r="U10" i="67"/>
  <c r="N106" i="67"/>
  <c r="P106" i="67"/>
  <c r="U56" i="67" l="1"/>
  <c r="U105" i="67"/>
  <c r="U106" i="67"/>
  <c r="C21" i="41"/>
  <c r="C22" i="41"/>
  <c r="C23" i="41"/>
  <c r="N46" i="60" l="1"/>
  <c r="J54" i="60" l="1"/>
  <c r="E52" i="60"/>
  <c r="E51" i="60"/>
  <c r="L51" i="60" l="1"/>
  <c r="O51" i="60" s="1"/>
  <c r="N51" i="60" l="1"/>
  <c r="P51" i="60"/>
  <c r="L28" i="60"/>
  <c r="U51" i="60" l="1"/>
  <c r="P28" i="60"/>
  <c r="N28" i="60"/>
  <c r="L52" i="60"/>
  <c r="P52" i="60" l="1"/>
  <c r="O52" i="60"/>
  <c r="U28" i="60"/>
  <c r="N52" i="60"/>
  <c r="U52" i="60" l="1"/>
  <c r="E50" i="60"/>
  <c r="E49" i="60"/>
  <c r="N4" i="60" l="1"/>
  <c r="E4" i="60"/>
  <c r="G4" i="60"/>
  <c r="B82" i="60"/>
  <c r="E64" i="60"/>
  <c r="E65" i="60"/>
  <c r="E63" i="60"/>
  <c r="E62" i="60"/>
  <c r="E61" i="60"/>
  <c r="E60" i="60"/>
  <c r="L60" i="60" l="1"/>
  <c r="N60" i="60" s="1"/>
  <c r="L65" i="60"/>
  <c r="N65" i="60" s="1"/>
  <c r="L64" i="60"/>
  <c r="N64" i="60" s="1"/>
  <c r="L62" i="60"/>
  <c r="N62" i="60" s="1"/>
  <c r="L61" i="60"/>
  <c r="N61" i="60" s="1"/>
  <c r="L69" i="60"/>
  <c r="L44" i="60"/>
  <c r="O44" i="60" s="1"/>
  <c r="L54" i="60"/>
  <c r="J55" i="60" s="1"/>
  <c r="L41" i="60"/>
  <c r="L46" i="60"/>
  <c r="L49" i="60"/>
  <c r="O49" i="60" s="1"/>
  <c r="L50" i="60"/>
  <c r="O50" i="60" s="1"/>
  <c r="L63" i="60"/>
  <c r="N63" i="60" s="1"/>
  <c r="L38" i="60"/>
  <c r="L36" i="60"/>
  <c r="E84" i="55"/>
  <c r="B74" i="60" l="1"/>
  <c r="B72" i="60"/>
  <c r="E55" i="60"/>
  <c r="L55" i="60" s="1"/>
  <c r="P55" i="60" s="1"/>
  <c r="B76" i="60"/>
  <c r="E56" i="60"/>
  <c r="L56" i="60" s="1"/>
  <c r="N56" i="60" s="1"/>
  <c r="P46" i="60"/>
  <c r="O46" i="60"/>
  <c r="P38" i="60"/>
  <c r="U38" i="60" s="1"/>
  <c r="O38" i="60"/>
  <c r="T68" i="60"/>
  <c r="O41" i="60"/>
  <c r="N36" i="60"/>
  <c r="O36" i="60"/>
  <c r="B73" i="60"/>
  <c r="N50" i="60"/>
  <c r="P50" i="60"/>
  <c r="P49" i="60"/>
  <c r="N49" i="60"/>
  <c r="P44" i="60"/>
  <c r="N44" i="60"/>
  <c r="P41" i="60"/>
  <c r="N41" i="60"/>
  <c r="P54" i="60"/>
  <c r="N54" i="60"/>
  <c r="M54" i="60"/>
  <c r="S69" i="60"/>
  <c r="N69" i="60"/>
  <c r="P36" i="60"/>
  <c r="U46" i="60" l="1"/>
  <c r="U41" i="60"/>
  <c r="U44" i="60"/>
  <c r="U49" i="60"/>
  <c r="U36" i="60"/>
  <c r="U54" i="60"/>
  <c r="U50" i="60"/>
  <c r="P56" i="60"/>
  <c r="N55" i="60"/>
  <c r="D80" i="60"/>
  <c r="A1" i="36"/>
  <c r="U56" i="60" l="1"/>
  <c r="U55" i="60"/>
  <c r="U68" i="60" l="1"/>
  <c r="U69" i="60" s="1"/>
  <c r="U71" i="60" s="1"/>
  <c r="Q22" i="41" l="1"/>
  <c r="N4" i="55" l="1"/>
  <c r="G4" i="55" l="1"/>
  <c r="E4" i="55"/>
  <c r="B114" i="55"/>
  <c r="N75" i="55"/>
  <c r="N74" i="55"/>
  <c r="N73" i="55"/>
  <c r="E78" i="55"/>
  <c r="E73" i="55"/>
  <c r="E74" i="55"/>
  <c r="E75" i="55"/>
  <c r="E62" i="55"/>
  <c r="E61" i="55"/>
  <c r="E85" i="55"/>
  <c r="E81" i="55"/>
  <c r="E30" i="55"/>
  <c r="E29" i="55"/>
  <c r="E28" i="55"/>
  <c r="E21" i="55"/>
  <c r="E20" i="55"/>
  <c r="E17" i="55"/>
  <c r="E15" i="55"/>
  <c r="E14" i="55"/>
  <c r="E13" i="55"/>
  <c r="E12" i="55"/>
  <c r="E11" i="55"/>
  <c r="L55" i="55" l="1"/>
  <c r="L58" i="55"/>
  <c r="P58" i="55" s="1"/>
  <c r="L57" i="55"/>
  <c r="P57" i="55" s="1"/>
  <c r="L56" i="55"/>
  <c r="P56" i="55" s="1"/>
  <c r="E91" i="55"/>
  <c r="L91" i="55" s="1"/>
  <c r="N91" i="55" s="1"/>
  <c r="E94" i="55"/>
  <c r="L94" i="55" s="1"/>
  <c r="N94" i="55" s="1"/>
  <c r="E93" i="55"/>
  <c r="L93" i="55" s="1"/>
  <c r="N93" i="55" s="1"/>
  <c r="E53" i="55"/>
  <c r="L53" i="55" s="1"/>
  <c r="P53" i="55" s="1"/>
  <c r="E54" i="55"/>
  <c r="L54" i="55" s="1"/>
  <c r="E90" i="55"/>
  <c r="L90" i="55" s="1"/>
  <c r="N90" i="55" s="1"/>
  <c r="E95" i="55"/>
  <c r="L95" i="55" s="1"/>
  <c r="N95" i="55" s="1"/>
  <c r="L64" i="55"/>
  <c r="O64" i="55" s="1"/>
  <c r="L66" i="55"/>
  <c r="O66" i="55" s="1"/>
  <c r="L68" i="55"/>
  <c r="O68" i="55" s="1"/>
  <c r="L70" i="55"/>
  <c r="O70" i="55" s="1"/>
  <c r="L62" i="55"/>
  <c r="L74" i="55"/>
  <c r="L99" i="55"/>
  <c r="L72" i="55"/>
  <c r="L60" i="55"/>
  <c r="O60" i="55" s="1"/>
  <c r="L75" i="55"/>
  <c r="L61" i="55"/>
  <c r="L73" i="55"/>
  <c r="L23" i="55"/>
  <c r="E10" i="55"/>
  <c r="L10" i="55" s="1"/>
  <c r="O10" i="55" s="1"/>
  <c r="L52" i="55"/>
  <c r="J83" i="55"/>
  <c r="L14" i="55"/>
  <c r="L83" i="55"/>
  <c r="B108" i="55" s="1"/>
  <c r="L47" i="55"/>
  <c r="L50" i="55"/>
  <c r="O50" i="55" s="1"/>
  <c r="L81" i="55"/>
  <c r="O81" i="55" s="1"/>
  <c r="L78" i="55"/>
  <c r="O78" i="55" s="1"/>
  <c r="L24" i="55"/>
  <c r="L27" i="55"/>
  <c r="L11" i="55"/>
  <c r="L13" i="55"/>
  <c r="L15" i="55"/>
  <c r="L19" i="55"/>
  <c r="L20" i="55"/>
  <c r="L22" i="55"/>
  <c r="L26" i="55"/>
  <c r="L29" i="55"/>
  <c r="L30" i="55"/>
  <c r="L12" i="55"/>
  <c r="L17" i="55"/>
  <c r="L21" i="55"/>
  <c r="O21" i="55" s="1"/>
  <c r="L28" i="55"/>
  <c r="L41" i="55"/>
  <c r="O41" i="55" s="1"/>
  <c r="L44" i="55"/>
  <c r="N19" i="55" l="1"/>
  <c r="O19" i="55"/>
  <c r="P22" i="55"/>
  <c r="O22" i="55"/>
  <c r="P28" i="55"/>
  <c r="O28" i="55"/>
  <c r="P20" i="55"/>
  <c r="O20" i="55"/>
  <c r="N29" i="55"/>
  <c r="O29" i="55"/>
  <c r="N27" i="55"/>
  <c r="O27" i="55"/>
  <c r="P72" i="55"/>
  <c r="O72" i="55"/>
  <c r="P73" i="55"/>
  <c r="O73" i="55"/>
  <c r="N17" i="55"/>
  <c r="O17" i="55"/>
  <c r="P15" i="55"/>
  <c r="O15" i="55"/>
  <c r="N61" i="55"/>
  <c r="O61" i="55"/>
  <c r="N12" i="55"/>
  <c r="O12" i="55"/>
  <c r="N13" i="55"/>
  <c r="O13" i="55"/>
  <c r="P75" i="55"/>
  <c r="O75" i="55"/>
  <c r="N30" i="55"/>
  <c r="O30" i="55"/>
  <c r="N11" i="55"/>
  <c r="O11" i="55"/>
  <c r="P14" i="55"/>
  <c r="O14" i="55"/>
  <c r="P26" i="55"/>
  <c r="O26" i="55"/>
  <c r="P24" i="55"/>
  <c r="O24" i="55"/>
  <c r="P74" i="55"/>
  <c r="U74" i="55" s="1"/>
  <c r="O74" i="55"/>
  <c r="P54" i="55"/>
  <c r="O54" i="55"/>
  <c r="P23" i="55"/>
  <c r="O23" i="55"/>
  <c r="P55" i="55"/>
  <c r="O55" i="55"/>
  <c r="U72" i="55"/>
  <c r="U73" i="55"/>
  <c r="U93" i="55"/>
  <c r="U75" i="55"/>
  <c r="P44" i="55"/>
  <c r="O44" i="55"/>
  <c r="M47" i="55"/>
  <c r="O47" i="55"/>
  <c r="P10" i="55"/>
  <c r="T10" i="55"/>
  <c r="T98" i="55" s="1"/>
  <c r="B103" i="55"/>
  <c r="E42" i="55"/>
  <c r="L42" i="55" s="1"/>
  <c r="M41" i="55"/>
  <c r="L85" i="55"/>
  <c r="N99" i="55"/>
  <c r="S99" i="55"/>
  <c r="P64" i="55"/>
  <c r="M64" i="55"/>
  <c r="N64" i="55"/>
  <c r="P70" i="55"/>
  <c r="N70" i="55"/>
  <c r="N68" i="55"/>
  <c r="P68" i="55"/>
  <c r="P66" i="55"/>
  <c r="M66" i="55"/>
  <c r="N66" i="55"/>
  <c r="N41" i="55"/>
  <c r="P62" i="55"/>
  <c r="N62" i="55"/>
  <c r="P61" i="55"/>
  <c r="P60" i="55"/>
  <c r="N60" i="55"/>
  <c r="P50" i="55"/>
  <c r="M50" i="55"/>
  <c r="N14" i="55"/>
  <c r="N10" i="55"/>
  <c r="N52" i="55"/>
  <c r="P52" i="55"/>
  <c r="P47" i="55"/>
  <c r="N47" i="55"/>
  <c r="N50" i="55"/>
  <c r="P12" i="55"/>
  <c r="P19" i="55"/>
  <c r="P81" i="55"/>
  <c r="N81" i="55"/>
  <c r="P30" i="55"/>
  <c r="U30" i="55" s="1"/>
  <c r="N78" i="55"/>
  <c r="P78" i="55"/>
  <c r="N83" i="55"/>
  <c r="P83" i="55"/>
  <c r="P21" i="55"/>
  <c r="N15" i="55"/>
  <c r="N28" i="55"/>
  <c r="P27" i="55"/>
  <c r="N24" i="55"/>
  <c r="P13" i="55"/>
  <c r="U13" i="55" s="1"/>
  <c r="P17" i="55"/>
  <c r="P29" i="55"/>
  <c r="P11" i="55"/>
  <c r="P41" i="55"/>
  <c r="D52" i="55" l="1"/>
  <c r="B104" i="55" s="1"/>
  <c r="S60" i="55"/>
  <c r="N20" i="55"/>
  <c r="U64" i="55"/>
  <c r="P85" i="55"/>
  <c r="U60" i="55"/>
  <c r="R47" i="55"/>
  <c r="S47" i="55"/>
  <c r="R50" i="55"/>
  <c r="S50" i="55"/>
  <c r="U19" i="55"/>
  <c r="U27" i="55"/>
  <c r="U29" i="55"/>
  <c r="U28" i="55"/>
  <c r="U24" i="55"/>
  <c r="U17" i="55"/>
  <c r="U61" i="55"/>
  <c r="U12" i="55"/>
  <c r="U41" i="55"/>
  <c r="U66" i="55"/>
  <c r="U47" i="55"/>
  <c r="U11" i="55"/>
  <c r="U14" i="55"/>
  <c r="U15" i="55"/>
  <c r="U81" i="55"/>
  <c r="U68" i="55"/>
  <c r="U44" i="55"/>
  <c r="U50" i="55"/>
  <c r="U83" i="55"/>
  <c r="U78" i="55"/>
  <c r="U52" i="55"/>
  <c r="U62" i="55"/>
  <c r="U70" i="55"/>
  <c r="N54" i="55"/>
  <c r="L84" i="55"/>
  <c r="U10" i="55"/>
  <c r="B102" i="55"/>
  <c r="N85" i="55"/>
  <c r="P42" i="55"/>
  <c r="N42" i="55"/>
  <c r="N26" i="55"/>
  <c r="N23" i="55"/>
  <c r="N56" i="55" l="1"/>
  <c r="P84" i="55"/>
  <c r="N84" i="55"/>
  <c r="N55" i="55"/>
  <c r="N53" i="55"/>
  <c r="U23" i="55"/>
  <c r="U20" i="55"/>
  <c r="U26" i="55"/>
  <c r="U42" i="55"/>
  <c r="U54" i="55"/>
  <c r="U85" i="55"/>
  <c r="B105" i="55"/>
  <c r="D112" i="55" s="1"/>
  <c r="N21" i="55"/>
  <c r="N22" i="55"/>
  <c r="U84" i="55" l="1"/>
  <c r="U56" i="55"/>
  <c r="N58" i="55"/>
  <c r="N57" i="55"/>
  <c r="U55" i="55"/>
  <c r="U53" i="55"/>
  <c r="U21" i="55"/>
  <c r="U22" i="55"/>
  <c r="U57" i="55" l="1"/>
  <c r="U58" i="55"/>
  <c r="B7" i="37"/>
  <c r="E87" i="67" s="1"/>
  <c r="L87" i="67" s="1"/>
  <c r="P87" i="67" s="1"/>
  <c r="B8" i="37"/>
  <c r="E88" i="67" s="1"/>
  <c r="B9" i="37"/>
  <c r="E89" i="67" s="1"/>
  <c r="B11" i="37"/>
  <c r="E91" i="67" s="1"/>
  <c r="B12" i="37"/>
  <c r="E92" i="67" s="1"/>
  <c r="B13" i="37"/>
  <c r="E93" i="67" s="1"/>
  <c r="B14" i="37"/>
  <c r="E94" i="67" s="1"/>
  <c r="B15" i="37"/>
  <c r="E95" i="67" s="1"/>
  <c r="B6" i="37"/>
  <c r="T99" i="55" l="1"/>
  <c r="U98" i="55"/>
  <c r="U99" i="55" s="1"/>
  <c r="U101" i="55" s="1"/>
  <c r="L92" i="67"/>
  <c r="P92" i="67" s="1"/>
  <c r="L91" i="67"/>
  <c r="P91" i="67" s="1"/>
  <c r="L89" i="67"/>
  <c r="P89" i="67" s="1"/>
  <c r="L88" i="67"/>
  <c r="P88" i="67" s="1"/>
  <c r="E86" i="67"/>
  <c r="L86" i="67" s="1"/>
  <c r="P86" i="67" s="1"/>
  <c r="L96" i="67"/>
  <c r="P96" i="67" s="1"/>
  <c r="L97" i="67"/>
  <c r="P97" i="67" s="1"/>
  <c r="L90" i="67"/>
  <c r="P90" i="67" s="1"/>
  <c r="L98" i="67"/>
  <c r="P98" i="67" s="1"/>
  <c r="L95" i="67"/>
  <c r="P95" i="67" s="1"/>
  <c r="L94" i="67"/>
  <c r="P94" i="67" s="1"/>
  <c r="L93" i="67"/>
  <c r="P93" i="67" s="1"/>
  <c r="P107" i="65"/>
  <c r="P109" i="65"/>
  <c r="P112" i="65"/>
  <c r="P115" i="65"/>
  <c r="P108" i="65"/>
  <c r="P110" i="65"/>
  <c r="P116" i="65"/>
  <c r="P114" i="65"/>
  <c r="P111" i="65"/>
  <c r="P113" i="65"/>
  <c r="U114" i="65" l="1"/>
  <c r="U110" i="65"/>
  <c r="U108" i="65"/>
  <c r="U111" i="65"/>
  <c r="U116" i="65"/>
  <c r="U115" i="65"/>
  <c r="U112" i="65"/>
  <c r="U107" i="65"/>
  <c r="U113" i="65"/>
  <c r="U109" i="65"/>
  <c r="P106" i="65"/>
  <c r="U106" i="65" l="1"/>
  <c r="U41" i="43" l="1"/>
  <c r="U43" i="43" s="1"/>
  <c r="B55" i="43"/>
  <c r="B29" i="41"/>
  <c r="D5" i="37" l="1"/>
  <c r="E5" i="37"/>
  <c r="F5" i="37"/>
  <c r="G5" i="37"/>
  <c r="H5" i="37"/>
  <c r="I5" i="37"/>
  <c r="J5" i="37"/>
  <c r="K5" i="37"/>
  <c r="L5" i="37"/>
  <c r="M5" i="37"/>
  <c r="N5" i="37"/>
  <c r="O5" i="37"/>
  <c r="P5" i="37"/>
  <c r="Q5" i="37"/>
  <c r="R5" i="37"/>
  <c r="S5" i="37"/>
  <c r="T5" i="37"/>
  <c r="U5" i="37"/>
  <c r="V5" i="37"/>
  <c r="W5" i="37"/>
  <c r="X5" i="37"/>
  <c r="Y5" i="37"/>
  <c r="Z5" i="37"/>
  <c r="AA5" i="37"/>
  <c r="C5" i="37"/>
  <c r="N96" i="67" l="1"/>
  <c r="N94" i="67"/>
  <c r="N97" i="67"/>
  <c r="N87" i="67"/>
  <c r="N88" i="67"/>
  <c r="N86" i="67"/>
  <c r="N91" i="67"/>
  <c r="N89" i="67"/>
  <c r="N92" i="67"/>
  <c r="N90" i="67"/>
  <c r="E79" i="67" s="1"/>
  <c r="L79" i="67" s="1"/>
  <c r="N79" i="67" s="1"/>
  <c r="N95" i="67"/>
  <c r="N93" i="67"/>
  <c r="N98" i="67"/>
  <c r="AA13" i="37"/>
  <c r="AA14" i="37" s="1"/>
  <c r="O79" i="67" l="1"/>
  <c r="P79" i="67"/>
  <c r="U95" i="67"/>
  <c r="B129" i="67"/>
  <c r="D135" i="67" s="1"/>
  <c r="U86" i="67"/>
  <c r="U88" i="67"/>
  <c r="U87" i="67"/>
  <c r="U90" i="67"/>
  <c r="U97" i="67"/>
  <c r="U93" i="67"/>
  <c r="U89" i="67"/>
  <c r="U94" i="67"/>
  <c r="U92" i="67"/>
  <c r="U91" i="67"/>
  <c r="U98" i="67"/>
  <c r="U96" i="67"/>
  <c r="B152" i="65"/>
  <c r="D157" i="65" s="1"/>
  <c r="O22" i="41"/>
  <c r="U79" i="67" l="1"/>
  <c r="U118" i="67"/>
  <c r="U119" i="67" s="1"/>
  <c r="U121" i="67" s="1"/>
  <c r="U137" i="65"/>
  <c r="U138" i="65" s="1"/>
  <c r="U140" i="65" s="1"/>
  <c r="Q23" i="41"/>
  <c r="O23" i="41" s="1"/>
  <c r="Q9" i="41" l="1"/>
  <c r="O9" i="41" s="1"/>
  <c r="Q8" i="41" l="1"/>
  <c r="O8" i="41" s="1"/>
</calcChain>
</file>

<file path=xl/comments1.xml><?xml version="1.0" encoding="utf-8"?>
<comments xmlns="http://schemas.openxmlformats.org/spreadsheetml/2006/main">
  <authors>
    <author>DH Homeoffice</author>
  </authors>
  <commentList>
    <comment ref="C6" authorId="0" shapeId="0">
      <text>
        <r>
          <rPr>
            <b/>
            <sz val="9"/>
            <color indexed="81"/>
            <rFont val="Segoe UI"/>
            <family val="2"/>
          </rPr>
          <t>DH Homeoffice: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DH Homeoffice</author>
  </authors>
  <commentList>
    <comment ref="C5" authorId="0" shapeId="0">
      <text>
        <r>
          <rPr>
            <b/>
            <sz val="9"/>
            <color indexed="81"/>
            <rFont val="Segoe UI"/>
            <family val="2"/>
          </rPr>
          <t>DH Homeoffice: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<sst xmlns="http://schemas.openxmlformats.org/spreadsheetml/2006/main" count="1598" uniqueCount="813">
  <si>
    <t>Art.-Nr.</t>
  </si>
  <si>
    <t>RAM</t>
  </si>
  <si>
    <t>Garantie</t>
  </si>
  <si>
    <t>LCD Power Adapter Anschlusskabel Typ A</t>
  </si>
  <si>
    <t>Anzahl</t>
  </si>
  <si>
    <t>Beschreibung</t>
  </si>
  <si>
    <t>Netzteil Open Frame Bicker BEO-2512M</t>
  </si>
  <si>
    <t>Kabel Strom Netz/Kaltgerätestecker 1.8m Int.</t>
  </si>
  <si>
    <t>Potential Ausgleichsbolzen 15mm (Set)</t>
  </si>
  <si>
    <t>7100053M</t>
  </si>
  <si>
    <t>Kabel SATA3 30cm mit Sicherung</t>
  </si>
  <si>
    <t>Internes Netzteil Panel-PCs</t>
  </si>
  <si>
    <t>Externes Netzteil Panel-PCs</t>
  </si>
  <si>
    <t>7100130M</t>
  </si>
  <si>
    <t>Stromkabel 2 Pin, C7, 2m, schwarz, EU</t>
  </si>
  <si>
    <t>Kabel DVI 1.8m St/St DualLink</t>
  </si>
  <si>
    <t>System-EK</t>
  </si>
  <si>
    <t>7000057M</t>
  </si>
  <si>
    <t>HDD 2.5" 100GB 4200rpm 24x7 ext. Temp SATA</t>
  </si>
  <si>
    <r>
      <t>Tätigkeit /</t>
    </r>
    <r>
      <rPr>
        <sz val="8"/>
        <color theme="1"/>
        <rFont val="Arial"/>
        <family val="2"/>
      </rPr>
      <t xml:space="preserve"> </t>
    </r>
    <r>
      <rPr>
        <i/>
        <sz val="8"/>
        <color theme="1"/>
        <rFont val="Arial"/>
        <family val="2"/>
      </rPr>
      <t>Action</t>
    </r>
    <r>
      <rPr>
        <sz val="8"/>
        <color theme="1"/>
        <rFont val="Arial"/>
        <family val="2"/>
      </rPr>
      <t>:</t>
    </r>
  </si>
  <si>
    <r>
      <t xml:space="preserve">Erstellung / </t>
    </r>
    <r>
      <rPr>
        <i/>
        <sz val="8"/>
        <color theme="1"/>
        <rFont val="Arial"/>
        <family val="2"/>
      </rPr>
      <t>Creation:</t>
    </r>
  </si>
  <si>
    <r>
      <t>Verantwortlicher /</t>
    </r>
    <r>
      <rPr>
        <sz val="8"/>
        <color theme="1"/>
        <rFont val="Arial"/>
        <family val="2"/>
      </rPr>
      <t xml:space="preserve"> </t>
    </r>
    <r>
      <rPr>
        <i/>
        <sz val="8"/>
        <color theme="1"/>
        <rFont val="Arial"/>
        <family val="2"/>
      </rPr>
      <t>Authority:</t>
    </r>
  </si>
  <si>
    <r>
      <t>Datum /</t>
    </r>
    <r>
      <rPr>
        <sz val="8"/>
        <color theme="1"/>
        <rFont val="Arial"/>
        <family val="2"/>
      </rPr>
      <t xml:space="preserve"> </t>
    </r>
    <r>
      <rPr>
        <i/>
        <sz val="8"/>
        <color theme="1"/>
        <rFont val="Arial"/>
        <family val="2"/>
      </rPr>
      <t>Date:</t>
    </r>
  </si>
  <si>
    <r>
      <t xml:space="preserve">Unterschrift / </t>
    </r>
    <r>
      <rPr>
        <i/>
        <sz val="8"/>
        <color theme="1"/>
        <rFont val="Arial"/>
        <family val="2"/>
      </rPr>
      <t>Signature:</t>
    </r>
  </si>
  <si>
    <t>PS36</t>
  </si>
  <si>
    <t>PS48</t>
  </si>
  <si>
    <t>PS60</t>
  </si>
  <si>
    <t>PPSS36</t>
  </si>
  <si>
    <t>PPSS48</t>
  </si>
  <si>
    <t>Freie Kalkulation</t>
  </si>
  <si>
    <t>Premium Pickup-Spare-Service 36 Monate</t>
  </si>
  <si>
    <t>Premium Pickup-Spare-Service 48 Monate</t>
  </si>
  <si>
    <t>Pickup-Service 48 Monate</t>
  </si>
  <si>
    <t>8110070M</t>
  </si>
  <si>
    <r>
      <t xml:space="preserve">Freigabe (MCD) / 
</t>
    </r>
    <r>
      <rPr>
        <i/>
        <sz val="8"/>
        <color theme="1"/>
        <rFont val="Arial"/>
        <family val="2"/>
      </rPr>
      <t>Approval (MCD):</t>
    </r>
  </si>
  <si>
    <t>7100154M</t>
  </si>
  <si>
    <t>7100155M</t>
  </si>
  <si>
    <t>Kabel RS232 40cm intern</t>
  </si>
  <si>
    <t>7000056M</t>
  </si>
  <si>
    <t>Aufkleber Verpackung MCD</t>
  </si>
  <si>
    <t>Kabel SATA gewinkelt, 30cm, gelb, intern, mit Clip</t>
  </si>
  <si>
    <t>7100150M</t>
  </si>
  <si>
    <t>Sechskantmutter Binder M16x1.5 TL Gen3</t>
  </si>
  <si>
    <t>Kabelbaum MCD TL Gen3 12V für D3243-S</t>
  </si>
  <si>
    <t>CPU</t>
  </si>
  <si>
    <t>Baugruppe MCD THA.leia³ 21.5"</t>
  </si>
  <si>
    <t>Baugruppe MCD THA.leia³ 21.5" OB</t>
  </si>
  <si>
    <t>Baugruppe MCD THA.leia³ 21.5" T</t>
  </si>
  <si>
    <t>Baugruppe MCD THA.leia³ 21.5" OBT</t>
  </si>
  <si>
    <t>Baugruppe MCD THA.leia³ 24"</t>
  </si>
  <si>
    <t>Baugruppe MCD THA.leia³ 24" OB</t>
  </si>
  <si>
    <t>Baugruppe MCD THA.leia³ 24" T</t>
  </si>
  <si>
    <t>Baugruppe MCD THA.leia³ 24" OBT</t>
  </si>
  <si>
    <t>Baugruppe MCD THA.leia³ 27"</t>
  </si>
  <si>
    <t>Baugruppe MCD THA.leia³ 27" OB</t>
  </si>
  <si>
    <t>Baugruppe MCD THA.leia³ 27" T</t>
  </si>
  <si>
    <t>Baugruppe MCD THA.leia³ 27" OBT</t>
  </si>
  <si>
    <t>Display MCD OMNI.view² 21.5" OB</t>
  </si>
  <si>
    <t>Display MCD OMNI.view² 21.5" OBT</t>
  </si>
  <si>
    <t>Display MCD OMNI.view² 24" OB</t>
  </si>
  <si>
    <t>Display MCD OMNI.view² 24" OBT</t>
  </si>
  <si>
    <t>Display MCD OMNI.view² 27" OB</t>
  </si>
  <si>
    <t>Display MCD OMNI.view² 27" OBT</t>
  </si>
  <si>
    <t>Rändelschraube TL / OV verzinkt 4x8mm</t>
  </si>
  <si>
    <t>Heatpipe THA.leia Gen3 D=6mm, L=250mm</t>
  </si>
  <si>
    <t>IEC-Buchse MCD TL³ int. PSU inkl. Erdungskabel</t>
  </si>
  <si>
    <t>-------------------------------------------------------------------------------------------------------------------------------------------------------------------------------------------------------------------------------------------------------------</t>
  </si>
  <si>
    <t>LCD Power Adapter</t>
  </si>
  <si>
    <t>IGEL</t>
  </si>
  <si>
    <t>Display MCD OMNI.view² 21.5"</t>
  </si>
  <si>
    <t>Display MCD OMNI.view² 21.5" T</t>
  </si>
  <si>
    <t>Display MCD OMNI.view² 24"</t>
  </si>
  <si>
    <t>Display MCD OMNI.view² 24" T</t>
  </si>
  <si>
    <t>Display MCD OMNI.view² 27"</t>
  </si>
  <si>
    <t>Display MCD OMNI.view² 27" T</t>
  </si>
  <si>
    <t>EK Art.-Nr.</t>
  </si>
  <si>
    <t>USB A-Buchsen-Verschluss-Kappe mit Griff, weiß</t>
  </si>
  <si>
    <t>Nr.</t>
  </si>
  <si>
    <t>1000141M</t>
  </si>
  <si>
    <t>Garantie 36 Monate (Bring-in)</t>
  </si>
  <si>
    <t>Garantie 48 Monate (Bring-in)</t>
  </si>
  <si>
    <t>Garantie 60 Monate (Bring-in)</t>
  </si>
  <si>
    <t>MCD Medical Line PANA.ceia³</t>
  </si>
  <si>
    <t>Netzteil (ATX 24pin) FSP 400W</t>
  </si>
  <si>
    <t>HDSATA 2.5" 1TB Seagate ST91000640NS / 7200rpm##</t>
  </si>
  <si>
    <t>HGST HD2.5" SATA3 1TB HTS721010A9E630 / 7.2k</t>
  </si>
  <si>
    <t>HD3.5" SATA3-Raid 1TB Seagate ST1000NM0033/7.2k#</t>
  </si>
  <si>
    <t>Kabel LPT 40cm intern</t>
  </si>
  <si>
    <t>Gehäuselüfter 80x80x25mm (24x7)</t>
  </si>
  <si>
    <t>3030026M</t>
  </si>
  <si>
    <t>Gehäuse Standfuß Rund Ø21mm Höhe 6mm schwarz</t>
  </si>
  <si>
    <t>3030127M</t>
  </si>
  <si>
    <t>AC² Blindblech RS232 Provertha AK09S Silber</t>
  </si>
  <si>
    <t>3031210M</t>
  </si>
  <si>
    <t>3500017M</t>
  </si>
  <si>
    <t>Laufwerk DVD±RW 5,25" Blende RAL9003 Vers. B</t>
  </si>
  <si>
    <t>3600022M</t>
  </si>
  <si>
    <t>E&amp;L Framegrabber ImagingSource DFG/SV1/PCIe</t>
  </si>
  <si>
    <t>3600027M</t>
  </si>
  <si>
    <t>PCIe-Riser-Karte x1 &gt; PCI 32-Bit mit Kabel 9cm</t>
  </si>
  <si>
    <t>3600038M</t>
  </si>
  <si>
    <t>RS-232 Karte EXSYS 2S Seriell PCIe (Oxford)</t>
  </si>
  <si>
    <t>Kabel Kaltgerätestecker EU rechts abgewinkelt 1.8m</t>
  </si>
  <si>
    <t>Kabel Y-Strom 5.25" nach 2x 5.25"</t>
  </si>
  <si>
    <t>Kabel SATA-Strom nach 5.25" 15cm</t>
  </si>
  <si>
    <t>Kabel Y-Strom 5.25" nach 5.25"+3.5"</t>
  </si>
  <si>
    <t>Pickup-Service 36 Monate</t>
  </si>
  <si>
    <t>Einbaurahmen 2.5" HDD/SSD in 3.5" Schacht</t>
  </si>
  <si>
    <t>5200157M_B</t>
  </si>
  <si>
    <t>5200158M_B</t>
  </si>
  <si>
    <t>5200159M</t>
  </si>
  <si>
    <t>5200160M</t>
  </si>
  <si>
    <t>Ferritkern UL</t>
  </si>
  <si>
    <t>6300060M</t>
  </si>
  <si>
    <t>6500021M</t>
  </si>
  <si>
    <t>6500022M</t>
  </si>
  <si>
    <t>7000007M</t>
  </si>
  <si>
    <t>Kabelbinder Schwarz 2.6x135mm</t>
  </si>
  <si>
    <t>7000043M</t>
  </si>
  <si>
    <t>POAG-Set Selbstsichernde Mutter M6 VA</t>
  </si>
  <si>
    <t>7000048M</t>
  </si>
  <si>
    <t>Lüfterhalterung 80x80mm Lüfter</t>
  </si>
  <si>
    <t>7000049M</t>
  </si>
  <si>
    <t>ESD Lüftungsgitter 80x80mm Lüfter</t>
  </si>
  <si>
    <t>7000052M</t>
  </si>
  <si>
    <t>Lichtleiter PANA.ceia²</t>
  </si>
  <si>
    <t>Aufkleber Galvanisch getrennt 10x8mm</t>
  </si>
  <si>
    <t>7000065M</t>
  </si>
  <si>
    <t>7000069M</t>
  </si>
  <si>
    <t>Linsenschraube BN4825 M3x8 AMD G3</t>
  </si>
  <si>
    <t>7000100M</t>
  </si>
  <si>
    <t>LED Platine Radisys PL35Q V2</t>
  </si>
  <si>
    <t>7000104M</t>
  </si>
  <si>
    <t>7100029M</t>
  </si>
  <si>
    <t>LCD Poweradapter internes Kabel mit Slotblech</t>
  </si>
  <si>
    <t>7100068M</t>
  </si>
  <si>
    <t>7100087M</t>
  </si>
  <si>
    <t>MPG Sicherungsadapter 4A UL</t>
  </si>
  <si>
    <t>7100103M</t>
  </si>
  <si>
    <t>7100131M</t>
  </si>
  <si>
    <t>7100140M</t>
  </si>
  <si>
    <t>Kabel Pinhead female zu 1x USB 3.0 female, 50cm</t>
  </si>
  <si>
    <t>Adapterkabel MCD TL Gen3 int. PSU 12V für D3243-S</t>
  </si>
  <si>
    <t>Adapterkabel MCD TL Gen3 ext. PSU 12V für D3243-S</t>
  </si>
  <si>
    <t>7100159M</t>
  </si>
  <si>
    <t>Isolator ES&amp;S RS232 4kV, 5V</t>
  </si>
  <si>
    <t>7300045M</t>
  </si>
  <si>
    <t>7300068M</t>
  </si>
  <si>
    <t>Sicherungsmutter M3 VA</t>
  </si>
  <si>
    <t>7300089M</t>
  </si>
  <si>
    <t>Drucktaster, Ø19mm Typ 1241.2801 inkl. 300mm Kabel</t>
  </si>
  <si>
    <t>7300097M</t>
  </si>
  <si>
    <t>Baukosten</t>
  </si>
  <si>
    <t>8120002M</t>
  </si>
  <si>
    <t>Formatierung Festplatte (S0 Kill)</t>
  </si>
  <si>
    <t>8190001M</t>
  </si>
  <si>
    <t>Abgaben und Gebühren</t>
  </si>
  <si>
    <t>Gehäuse AC1+2 Sicherungsmutter verz. M3</t>
  </si>
  <si>
    <t>Gehäuse AC1+2 Senkkopfschraube schw. Verz. M3x10</t>
  </si>
  <si>
    <t>Schraube Taptite M3x10</t>
  </si>
  <si>
    <t>Spacer Sleeve M4 3mm</t>
  </si>
  <si>
    <t>Slotblech metall</t>
  </si>
  <si>
    <t>Gehäuse AC1+2 Slotblech</t>
  </si>
  <si>
    <t>Schraube UNC 6/32</t>
  </si>
  <si>
    <t>Schraube UNC6/32 0.19" HDD</t>
  </si>
  <si>
    <t>=&gt; HDDs im Raid Level  0 - Verbund (Striping)</t>
  </si>
  <si>
    <t>=&gt; HDDs im Raid Level  1 - Verbund (Mirroring)</t>
  </si>
  <si>
    <t>BB12-0037_E</t>
  </si>
  <si>
    <t>BB13-0004_D</t>
  </si>
  <si>
    <t>BB15-0045_A</t>
  </si>
  <si>
    <t>Herstellanweisung MCD Medical Line PANA.ceia³</t>
  </si>
  <si>
    <t>Verpackungsanweisung MCD Medical Line PANA.ceia³</t>
  </si>
  <si>
    <t>Pickup-Service 60 Monate (month)</t>
  </si>
  <si>
    <t>Prüfanweisung MCD Medical Line PANA.ceia³</t>
  </si>
  <si>
    <t>3600041M</t>
  </si>
  <si>
    <t>DHR MCD Medical Line PANA.ceia³</t>
  </si>
  <si>
    <t>Artikel-Nr. / part no.:</t>
  </si>
  <si>
    <t>Baugruppen</t>
  </si>
  <si>
    <t>---</t>
  </si>
  <si>
    <t>HDD</t>
  </si>
  <si>
    <t>Operating systems</t>
  </si>
  <si>
    <t>Menge</t>
  </si>
  <si>
    <t>3100013M</t>
  </si>
  <si>
    <t>PPI</t>
  </si>
  <si>
    <t>PTI</t>
  </si>
  <si>
    <t>Basismodell-Komponenten</t>
  </si>
  <si>
    <t>Herstelldokumente und Beschilderungsblätter</t>
  </si>
  <si>
    <t>Basismodell-</t>
  </si>
  <si>
    <t>BTO</t>
  </si>
  <si>
    <t>EK /Stück</t>
  </si>
  <si>
    <t>PPSS60</t>
  </si>
  <si>
    <t>Premium Pickup-Spare-Service 60 Monate</t>
  </si>
  <si>
    <t>PCI</t>
  </si>
  <si>
    <t>Home</t>
  </si>
  <si>
    <t>3031218M</t>
  </si>
  <si>
    <t>WIFI</t>
  </si>
  <si>
    <t>WiFi Antennenabdeckung MCD TL³</t>
  </si>
  <si>
    <t>7100166M</t>
  </si>
  <si>
    <t>Platine LCD-Power-Adapter MCD THA.leia³</t>
  </si>
  <si>
    <t>Zusätzliche Schnittstellen</t>
  </si>
  <si>
    <t>RS232</t>
  </si>
  <si>
    <t>RS232, galvanisch getrennt (4kV, 12V)</t>
  </si>
  <si>
    <t>RS232, galvanisch getrennt (4kV, 5V)</t>
  </si>
  <si>
    <t>RS232, galvanisch getrennt 12V</t>
  </si>
  <si>
    <t>RS232, galvanisch getrennt 5V</t>
  </si>
  <si>
    <t>1-2</t>
  </si>
  <si>
    <t>1-4</t>
  </si>
  <si>
    <t>0-3</t>
  </si>
  <si>
    <t>Marge</t>
  </si>
  <si>
    <t>7000108M</t>
  </si>
  <si>
    <t>7000111M</t>
  </si>
  <si>
    <t>7000110M</t>
  </si>
  <si>
    <t>7000109M</t>
  </si>
  <si>
    <t>7000107M</t>
  </si>
  <si>
    <t>7000115M</t>
  </si>
  <si>
    <t>7000114M</t>
  </si>
  <si>
    <t>7000106M</t>
  </si>
  <si>
    <t>3031219M</t>
  </si>
  <si>
    <t>Artikel-Nummer</t>
  </si>
  <si>
    <t>Bezeichnung</t>
  </si>
  <si>
    <t>EK [€)</t>
  </si>
  <si>
    <t>EK [USD)</t>
  </si>
  <si>
    <t>=</t>
  </si>
  <si>
    <t>VK (€)</t>
  </si>
  <si>
    <t xml:space="preserve">basiert auf Dollar-Kurs </t>
  </si>
  <si>
    <t>BB16-0001_A</t>
  </si>
  <si>
    <t>Externes Netzteil</t>
  </si>
  <si>
    <t>Gehäuse PANA.ceia³ MCD - Basis Gehäuse V4</t>
  </si>
  <si>
    <t>Slotblech für 2x D-SUB 9pol.</t>
  </si>
  <si>
    <t>3031220M</t>
  </si>
  <si>
    <t>Gehäuse Nanum SE-TC5 - Sample MCD Konfiguration</t>
  </si>
  <si>
    <t>3050027M</t>
  </si>
  <si>
    <t>Framegrabber Eltec pi3_RGB PCI</t>
  </si>
  <si>
    <t>EXSYS Quad Gigabit Ethernet PCIe card</t>
  </si>
  <si>
    <t>6300059M-1</t>
  </si>
  <si>
    <t>Netzteil OV² abgew. Binder-Stecker 60W BET MCD</t>
  </si>
  <si>
    <t>PCI-Slotblende Kunststoff TL³ 4x galv. Trennung</t>
  </si>
  <si>
    <t>M4x10 Zylinderschraube Innensechskant</t>
  </si>
  <si>
    <t>M2.5x4 Linsenkopfschraube Kreuz verzinkt</t>
  </si>
  <si>
    <t>M3x6 Linsenkopfschraube Torx - T10</t>
  </si>
  <si>
    <t>6,4mm Zahnscheibe V2A</t>
  </si>
  <si>
    <t>M6 Sechskantmutter V2A</t>
  </si>
  <si>
    <t>M6x30 Sechskantschraube V2A</t>
  </si>
  <si>
    <t>7000112M</t>
  </si>
  <si>
    <t>M3x4 Linsenkopfschraube</t>
  </si>
  <si>
    <t>2,5mm Isolier-Distanzhülsen schwarz</t>
  </si>
  <si>
    <t>2,7mm Unterlegscheibe verzinkt</t>
  </si>
  <si>
    <t>7100169M</t>
  </si>
  <si>
    <t>Produktschutzhülle MCD TL³ /OV²</t>
  </si>
  <si>
    <t>7300147M</t>
  </si>
  <si>
    <t>Hologramm "Original Siegel" MCD Medical Line TL³</t>
  </si>
  <si>
    <t>MS Windows 10 Pro 64 Bit [MUI] MCD inst.</t>
  </si>
  <si>
    <t>Lager- / Transportlabel MCD TL³ / OV²</t>
  </si>
  <si>
    <t>Verpackungsanweisung THA.leia³</t>
  </si>
  <si>
    <t>Verpackungsanweisung MCD Medical Line OMNI.view²</t>
  </si>
  <si>
    <t>Prüfanweisung MCD Medical Line OMNI.view²</t>
  </si>
  <si>
    <t>Ja</t>
  </si>
  <si>
    <t>Nein</t>
  </si>
  <si>
    <t>THA.leia³</t>
  </si>
  <si>
    <t>parallel</t>
  </si>
  <si>
    <t>3031221M</t>
  </si>
  <si>
    <t>Blindblech MCD TL³ Front-USB Abdeckung</t>
  </si>
  <si>
    <t>3809266-1</t>
  </si>
  <si>
    <t>6300057M-1</t>
  </si>
  <si>
    <t>7000101M-1</t>
  </si>
  <si>
    <t>7000102M-1</t>
  </si>
  <si>
    <t>7100074M-1</t>
  </si>
  <si>
    <t>Datenkabel MCD TL³ für RS232-Isolator L350</t>
  </si>
  <si>
    <t>7100130M-1</t>
  </si>
  <si>
    <t>7100153M-1</t>
  </si>
  <si>
    <t>7100155M-1</t>
  </si>
  <si>
    <t>7100163M-1</t>
  </si>
  <si>
    <t>7200019M-1</t>
  </si>
  <si>
    <t>7200023M</t>
  </si>
  <si>
    <t>Isolierfolie MCD TL³ für PCIe-Bereich</t>
  </si>
  <si>
    <t>7300144M-1</t>
  </si>
  <si>
    <t>USB 3.0 Front Schnittstelle</t>
  </si>
  <si>
    <t>Übersicht</t>
  </si>
  <si>
    <t>Herstellanweisung MCD Medical Line TL³</t>
  </si>
  <si>
    <t>Prüfanweisung MCD Medical Line TL³</t>
  </si>
  <si>
    <t>3600047M</t>
  </si>
  <si>
    <t>RS-232 Karte EXSYS 4S Serial PCIe</t>
  </si>
  <si>
    <t>2000058M</t>
  </si>
  <si>
    <t>1-3</t>
  </si>
  <si>
    <t>4 o.8</t>
  </si>
  <si>
    <t>ODD</t>
  </si>
  <si>
    <t>PCIe x16 (Gen3)</t>
  </si>
  <si>
    <t>PCIe x16 (Gen3 4lanes)</t>
  </si>
  <si>
    <t>PCIe x1 (Gen3)</t>
  </si>
  <si>
    <t>Produkt</t>
  </si>
  <si>
    <t>Formel</t>
  </si>
  <si>
    <t>PANA.ceia³</t>
  </si>
  <si>
    <t>2 Gehäuselüfter werden benötigt, wenn eine i7 CPU oder Framegrabber + Grafikkarte verwendet werden</t>
  </si>
  <si>
    <t>Wenn Grafikkarte XXX installiert ist, können nur YY PCIeZ Karten integriert sein</t>
  </si>
  <si>
    <t>Slotblech metall: 4 Stück bei keiner PCI Erweiterung, mindestens 0 bei 4 PCI Erweiterungen</t>
  </si>
  <si>
    <t>Parallel Port</t>
  </si>
  <si>
    <t xml:space="preserve"> + 1x RS-232</t>
  </si>
  <si>
    <t>kein Ausschluss, aber Hinweis, wenn bei einem der OMNI.views und einem System der LCD Power Adapter ausgewählt ist; Hinweis auf jeder Seite</t>
  </si>
  <si>
    <t>RAID</t>
  </si>
  <si>
    <t>SATA Kabel: 1-3, je 1 pro HDD (max. 2) und ODD (1)</t>
  </si>
  <si>
    <t xml:space="preserve"> =XX+YY+ZZ</t>
  </si>
  <si>
    <t xml:space="preserve"> =4-summe(x+y+z+a+b+c)</t>
  </si>
  <si>
    <t>Einbaurahmen 2,5": je 1x pro HDD / SSD, wenn diese im 2,5" Format</t>
  </si>
  <si>
    <t>x1</t>
  </si>
  <si>
    <t>Hinweis Beistellware</t>
  </si>
  <si>
    <t xml:space="preserve">x4 </t>
  </si>
  <si>
    <t>i3</t>
  </si>
  <si>
    <t>i5</t>
  </si>
  <si>
    <t>i7</t>
  </si>
  <si>
    <t>Hilfsformel in Spalte "L": Sverweis in BOM auf Basis der Artikelnummer (i7 bzw. Lüfter)</t>
  </si>
  <si>
    <t>Fehlermeldung</t>
  </si>
  <si>
    <t>NEIN</t>
  </si>
  <si>
    <t>JA</t>
  </si>
  <si>
    <t>ja</t>
  </si>
  <si>
    <t>Beide Framegrabber erfordern, dass mindestens 1 x PCIe x1 frei bleibt</t>
  </si>
  <si>
    <t>max. 4 PCI Erweiterungen</t>
  </si>
  <si>
    <t>Kunde</t>
  </si>
  <si>
    <t>CPU Intel Core i7-6700T</t>
  </si>
  <si>
    <t>CPU Intel Core i5-6400T</t>
  </si>
  <si>
    <t>RAM SO-DIMM DDR4 16GB Samsung</t>
  </si>
  <si>
    <t>0-4</t>
  </si>
  <si>
    <t>3500021M</t>
  </si>
  <si>
    <t>8110005M</t>
  </si>
  <si>
    <t>7000117M-1</t>
  </si>
  <si>
    <t>3400034M</t>
  </si>
  <si>
    <t>3400035M</t>
  </si>
  <si>
    <t>SATA-DOM Apacer SATA3 4GB SDM5A-M 7P/180D LP MLC</t>
  </si>
  <si>
    <t>SATA-DOM Apacer SATA3 8GB SDM5A-M 7P/180D LP MLC</t>
  </si>
  <si>
    <t>MCD Medical Line AESCU.nano</t>
  </si>
  <si>
    <t>CPU Intel Core i3-6300T</t>
  </si>
  <si>
    <t>HDD 2TB SATA3 2.5" ST2000NX0253</t>
  </si>
  <si>
    <t>Laufwerk BluRay LG BH16NS55</t>
  </si>
  <si>
    <t>5200239M</t>
  </si>
  <si>
    <t>6300064M</t>
  </si>
  <si>
    <t>Netzteil Open Frame BEO-0612M | 60W</t>
  </si>
  <si>
    <t>T MS Windows 10 Pro. Liz. OA3.0 OEM</t>
  </si>
  <si>
    <t>7100172M</t>
  </si>
  <si>
    <t>7300151M</t>
  </si>
  <si>
    <t>Ratinglabel MCD Medical Line AESCU.nano</t>
  </si>
  <si>
    <t>Herstellanweisung MCD Medical Line AESCU.nano</t>
  </si>
  <si>
    <t>Verpackungsanweisung MCD Medical Line AESCU.nano</t>
  </si>
  <si>
    <t>DHR MCD Medical Line AESCU.nano</t>
  </si>
  <si>
    <t>2430188-1</t>
  </si>
  <si>
    <t>Riserkarte PCIex16-&gt;2xPCIex16 Storz (Ameri-Rack)</t>
  </si>
  <si>
    <t>2990005M_B</t>
  </si>
  <si>
    <t>2990006M_B</t>
  </si>
  <si>
    <t>2990007M_B</t>
  </si>
  <si>
    <t>2990008M_B</t>
  </si>
  <si>
    <t>2990009M_B</t>
  </si>
  <si>
    <t>2990010M_B</t>
  </si>
  <si>
    <t>2990011M_B</t>
  </si>
  <si>
    <t>2990012M_B</t>
  </si>
  <si>
    <t>2990013M_B</t>
  </si>
  <si>
    <t>2990014M_B</t>
  </si>
  <si>
    <t>2990015M_B</t>
  </si>
  <si>
    <t>2990016M_B</t>
  </si>
  <si>
    <t>3200014M</t>
  </si>
  <si>
    <t>Embedded Intel i7-6700TE (8M Cache, up to 3.40GHz)</t>
  </si>
  <si>
    <t>3200015M</t>
  </si>
  <si>
    <t>Embedded Intel i5-6500TE (6M Cache, up to 3.30GHz)</t>
  </si>
  <si>
    <t>3200016M</t>
  </si>
  <si>
    <t>Embedded Intel i3-6100TE (4M Cache, up to 2.70GHz)</t>
  </si>
  <si>
    <t>Fujitsu Mini PCIe to M.2 Adapter Board D3436-S</t>
  </si>
  <si>
    <t>5200179M_B</t>
  </si>
  <si>
    <t>5200180M_B</t>
  </si>
  <si>
    <t>5200183M_B</t>
  </si>
  <si>
    <t>5200184M_B</t>
  </si>
  <si>
    <t>5200187M_B</t>
  </si>
  <si>
    <t>5200188M_B</t>
  </si>
  <si>
    <t>5200205M_B</t>
  </si>
  <si>
    <t>5200206M_B</t>
  </si>
  <si>
    <t>5200209M_B</t>
  </si>
  <si>
    <t>5200210M_B</t>
  </si>
  <si>
    <t>5200213M_B</t>
  </si>
  <si>
    <t>5200214M_B</t>
  </si>
  <si>
    <t>7100179M</t>
  </si>
  <si>
    <t>miniPCIe Adapter 4x RS232 EXSYS</t>
  </si>
  <si>
    <t>7200026M</t>
  </si>
  <si>
    <t>MCD Medical Line OMNI.view 21.5"</t>
  </si>
  <si>
    <t>non-Touch: 5200159M / Touch: 5200160M</t>
  </si>
  <si>
    <t>5200159M_DHR</t>
  </si>
  <si>
    <t>MCD OMNI.view 21.5"</t>
  </si>
  <si>
    <t>MCD OMNI.view 21.5" T</t>
  </si>
  <si>
    <t>5200160M_DHR</t>
  </si>
  <si>
    <t>5200159M_BB</t>
  </si>
  <si>
    <t>5200160M_BB</t>
  </si>
  <si>
    <t>2470066-4</t>
  </si>
  <si>
    <t>WLAN Doppelantenne MHF IV 2x250mm</t>
  </si>
  <si>
    <t>2470924-1</t>
  </si>
  <si>
    <t>RAM DDR4 8GB / PC2400 / UB / Samsung (1Rx8)</t>
  </si>
  <si>
    <t>RAM DDR4 4GB / PC2400 / UB / Samsung</t>
  </si>
  <si>
    <t>SSD 128GB M.2 SM220-M242 SATA3</t>
  </si>
  <si>
    <t>RAM SO-DIMM DDR4 4GB PC2400 SAMSUNG</t>
  </si>
  <si>
    <t>RAM SO-DIMM DDR4 8GB PC2400 SAMSUNG</t>
  </si>
  <si>
    <t>Linsenschraube BN4825 M3x5</t>
  </si>
  <si>
    <t>7300156M</t>
  </si>
  <si>
    <t>3M VHB Klebeband 5952 F schwarz</t>
  </si>
  <si>
    <t>BIOS</t>
  </si>
  <si>
    <t>2000063M</t>
  </si>
  <si>
    <t>6300068M</t>
  </si>
  <si>
    <t>BB16-0007_C</t>
  </si>
  <si>
    <t>3600060M</t>
  </si>
  <si>
    <t>WiFi miniPCIe Azurwave WiFi with Bluetooth</t>
  </si>
  <si>
    <t>Handbuch MCD Medical Line THA.leia³ DE/EN</t>
  </si>
  <si>
    <t>6500071M</t>
  </si>
  <si>
    <t>Handbuch MCD Medical Line AESCU.nano DE/EN</t>
  </si>
  <si>
    <t>3031232M</t>
  </si>
  <si>
    <t>3200017M</t>
  </si>
  <si>
    <t>Embedded Intel Celeron G3900TE (2M Cache, 2.3 GHz)</t>
  </si>
  <si>
    <t>8300000M</t>
  </si>
  <si>
    <t>Entwicklungskosten AESCU.nano</t>
  </si>
  <si>
    <t>BB17-0002_A</t>
  </si>
  <si>
    <t>VESA Adapter</t>
  </si>
  <si>
    <t>Y NB Intel Wireless-AC 8265.NGWMG.S</t>
  </si>
  <si>
    <t>7200027M</t>
  </si>
  <si>
    <t>Verpackungsset 2.0 TL³/OV² 21.5", 24", 27"</t>
  </si>
  <si>
    <t>Verpackung MCD AESCU.nano Umkarton</t>
  </si>
  <si>
    <t>7200029M</t>
  </si>
  <si>
    <t>Verpackung MCD AESCU.nano Schaumstoff</t>
  </si>
  <si>
    <t>Prüfanweisung MCD Medical Line AESCU.nano</t>
  </si>
  <si>
    <t>7000127M</t>
  </si>
  <si>
    <t>Abstandshalter MCD AESCU.nano VESA-Halterung</t>
  </si>
  <si>
    <t>3200019M</t>
  </si>
  <si>
    <t>Embedded Intel i7-7700T (8M Cache, up to 3.80GHz)</t>
  </si>
  <si>
    <t>Kabel MCD LCD-P-A OMNI.view² (1,6m)</t>
  </si>
  <si>
    <t>6300072M</t>
  </si>
  <si>
    <t>Netzteil OV gerader Binder-Stecker 60W BET MCD</t>
  </si>
  <si>
    <t>Kabel MCD LCD-P-A OMNI.view1 (1,6m)</t>
  </si>
  <si>
    <t>PTI00176_E</t>
  </si>
  <si>
    <t>PTR00229_F</t>
  </si>
  <si>
    <t>PTR00230_F</t>
  </si>
  <si>
    <t>Quick Start Guide OMNI.view 21,5" German</t>
  </si>
  <si>
    <t>Quick Start Guide OMNI.view 21,5" English</t>
  </si>
  <si>
    <t>Packaging label MCD</t>
  </si>
  <si>
    <t>Assembly</t>
  </si>
  <si>
    <t>DHR MCD Medical Line OMNI.view 21,5" non-Touch</t>
  </si>
  <si>
    <t>DHR MCD Medical Line OMNI.view 21,5" Touch</t>
  </si>
  <si>
    <t>Product label MCD Medical Line OMNI.view 21,5" non-Touch</t>
  </si>
  <si>
    <t>Product label MCD Medical Line OMNI.view 21,5" Touch</t>
  </si>
  <si>
    <t>Packaging Instruction MCD Medical Line OMNI.view 21,5"</t>
  </si>
  <si>
    <t>Test Instruction MCD Medical Line OMNI.view 21,5"</t>
  </si>
  <si>
    <t>Power cable 2 Pin, C7, 2m, black EU</t>
  </si>
  <si>
    <t>Power cable 2 Pin, C7, 2m, black US</t>
  </si>
  <si>
    <t>LCD Pwr. Adap. Cable with Binder plug 1,6m</t>
  </si>
  <si>
    <t>7300174M</t>
  </si>
  <si>
    <t>MCD TL³ WLAN Doppelantenne 2xMHF 500mm</t>
  </si>
  <si>
    <t>Neutral</t>
  </si>
  <si>
    <t>3050031M</t>
  </si>
  <si>
    <t>Mainboard Fujitsu D3433-S2 Kabylake mini ITX</t>
  </si>
  <si>
    <t>3200020M</t>
  </si>
  <si>
    <t>Embedded Intel i3-7101TE Tray (3M Cache, 3.40 GHz)</t>
  </si>
  <si>
    <t>3200021M</t>
  </si>
  <si>
    <t>3200026M</t>
  </si>
  <si>
    <t>7100203M</t>
  </si>
  <si>
    <t>DVI Kabel (24+1) St/St, 2m, Dual Link</t>
  </si>
  <si>
    <t>8110060M</t>
  </si>
  <si>
    <t>EK / Stück</t>
  </si>
  <si>
    <t>Drucktaster MCD AESCU.nano Power-Symbol grün inkl. Kabel</t>
  </si>
  <si>
    <t>Netzteil AN 90W FSP090-RHCM1 inkl. Binder-Stecker</t>
  </si>
  <si>
    <t>Kabelbuchse Binder 4pol gewinkelt Serie 682 OV² (in PSU enthalten)</t>
  </si>
  <si>
    <t>Selbstsichernde Mutter M6 VA</t>
  </si>
  <si>
    <t>Linsenschraube BN4825 M3x5 AMD G3</t>
  </si>
  <si>
    <t>Isolier-Distanzhülse 3mm</t>
  </si>
  <si>
    <t>Isolier-Distanzhülse 10mm</t>
  </si>
  <si>
    <t>Kabelbinder schwarz 135mm x 2.6mm</t>
  </si>
  <si>
    <t>PMI00182_D</t>
  </si>
  <si>
    <t>AESCU.nano Transport- / Lagerbedingungen</t>
  </si>
  <si>
    <t>3050032M</t>
  </si>
  <si>
    <t>Mainboard µATX Fujitsu D3402-B2 Intel Q170</t>
  </si>
  <si>
    <t>3200027M</t>
  </si>
  <si>
    <t>Embedded Intel i7-7700 boxed (8M Cache, 4.20 GHz)</t>
  </si>
  <si>
    <t>3200028M</t>
  </si>
  <si>
    <t>Embedded Intel i5-7500 boxed (6M Cache, 3.80 GHz)</t>
  </si>
  <si>
    <t>3200029M</t>
  </si>
  <si>
    <t>Embedded Intel i3-7101E Tray (3M Cache, 3.90 GHz)</t>
  </si>
  <si>
    <t>7100204M</t>
  </si>
  <si>
    <t>Adapterkabel MCD AC³ int. PSU 12V für D3433-S2</t>
  </si>
  <si>
    <t>Rev. I</t>
  </si>
  <si>
    <t>2190170-1</t>
  </si>
  <si>
    <t>3031260M</t>
  </si>
  <si>
    <t>3031262M</t>
  </si>
  <si>
    <t>3031266M</t>
  </si>
  <si>
    <t>3031267M</t>
  </si>
  <si>
    <t>3300017M</t>
  </si>
  <si>
    <t>RAM SO-DIMM DDR4 4GB / PC2400 Samsung</t>
  </si>
  <si>
    <t>4100016M</t>
  </si>
  <si>
    <t>IGEL UDC3 DU Converter License IGEL LINUX</t>
  </si>
  <si>
    <t>M3x12 Zylinderschraube verzinkt</t>
  </si>
  <si>
    <t>7200038M</t>
  </si>
  <si>
    <t>7200039M</t>
  </si>
  <si>
    <t>7200040M</t>
  </si>
  <si>
    <t>MCD Abstandsbolzen UNC</t>
  </si>
  <si>
    <t>3700018M-1</t>
  </si>
  <si>
    <t>2190171-1</t>
  </si>
  <si>
    <t>6000019M</t>
  </si>
  <si>
    <t>Wechselrahmen AC³ 3.5" für 2 x 2.5" HDD/SSD</t>
  </si>
  <si>
    <t>6000020M</t>
  </si>
  <si>
    <t>Visaton Vibrationslautsprecher EX45S</t>
  </si>
  <si>
    <t>7100209M</t>
  </si>
  <si>
    <t>Stromkabel TL³ 4 x galv. Trennung 5V</t>
  </si>
  <si>
    <t>7100210M</t>
  </si>
  <si>
    <t>BB17-0022_A</t>
  </si>
  <si>
    <t>Ratinglabel MCD AESCU.certus³</t>
  </si>
  <si>
    <t>Herstellanweisung AESCU.certus³</t>
  </si>
  <si>
    <t>PPI00163_E</t>
  </si>
  <si>
    <t>Verpackungsanweisung AESCU.certus³</t>
  </si>
  <si>
    <t>Prüfanweisung AESCU.certus³</t>
  </si>
  <si>
    <t>PTR00303_A</t>
  </si>
  <si>
    <t>DHR MCD AESCU.certus³</t>
  </si>
  <si>
    <t>MCD Medical Line THA.leia³</t>
  </si>
  <si>
    <t>2000070M</t>
  </si>
  <si>
    <t>0-8</t>
  </si>
  <si>
    <t>Vibrationslautsprecher</t>
  </si>
  <si>
    <t>Hinweis für die Auftragsbearbeitung: so lange Bestand auf die Baugruppe ohne "_B" existiert, wird dieser zuerst in Fertigungsaufträgen verwendet, bis er aufgebraucht ist!</t>
  </si>
  <si>
    <t>Embedded Celeron G3930TE (2M Cache, 2.7 GHz)</t>
  </si>
  <si>
    <t>3400039M-1</t>
  </si>
  <si>
    <t>3600053M-1</t>
  </si>
  <si>
    <t>Anschlusskabel Lautsprecher EX45S</t>
  </si>
  <si>
    <t>Ratinglabel MCD THA.leia³</t>
  </si>
  <si>
    <t>DHR MCD THA.leia³</t>
  </si>
  <si>
    <t>0/4</t>
  </si>
  <si>
    <t>BIOS_IGEL</t>
  </si>
  <si>
    <t>BIOS_10</t>
  </si>
  <si>
    <t>Version 8-0-0-0</t>
  </si>
  <si>
    <r>
      <t xml:space="preserve">Kunde / </t>
    </r>
    <r>
      <rPr>
        <b/>
        <i/>
        <sz val="16"/>
        <rFont val="Eurostile LT Bold"/>
        <family val="2"/>
      </rPr>
      <t>customer</t>
    </r>
  </si>
  <si>
    <r>
      <t xml:space="preserve">Art.-Nr. / </t>
    </r>
    <r>
      <rPr>
        <b/>
        <i/>
        <sz val="16"/>
        <rFont val="Eurostile LT Bold"/>
        <family val="2"/>
      </rPr>
      <t>P/N:</t>
    </r>
  </si>
  <si>
    <r>
      <t xml:space="preserve">Basismodell / </t>
    </r>
    <r>
      <rPr>
        <b/>
        <i/>
        <sz val="10"/>
        <color theme="1"/>
        <rFont val="Eurostile LT"/>
        <family val="2"/>
      </rPr>
      <t>base model</t>
    </r>
  </si>
  <si>
    <t>Komponenten /</t>
  </si>
  <si>
    <t>Base model components</t>
  </si>
  <si>
    <r>
      <t xml:space="preserve">Baugruppe / </t>
    </r>
    <r>
      <rPr>
        <b/>
        <i/>
        <sz val="9"/>
        <color theme="1"/>
        <rFont val="Eurostile LT"/>
        <family val="2"/>
      </rPr>
      <t>Display unit</t>
    </r>
  </si>
  <si>
    <r>
      <t xml:space="preserve">Netzteil / </t>
    </r>
    <r>
      <rPr>
        <b/>
        <i/>
        <sz val="9"/>
        <color theme="1"/>
        <rFont val="Eurostile LT"/>
        <family val="2"/>
      </rPr>
      <t>Power Supply</t>
    </r>
  </si>
  <si>
    <r>
      <t xml:space="preserve">Datenspeicher I / </t>
    </r>
    <r>
      <rPr>
        <b/>
        <i/>
        <sz val="9"/>
        <color theme="1"/>
        <rFont val="Eurostile LT"/>
        <family val="2"/>
      </rPr>
      <t>Data Storage I</t>
    </r>
  </si>
  <si>
    <r>
      <t>Datenspeicher II /</t>
    </r>
    <r>
      <rPr>
        <b/>
        <i/>
        <sz val="9"/>
        <color theme="1"/>
        <rFont val="Eurostile LT"/>
        <family val="2"/>
      </rPr>
      <t xml:space="preserve"> Data Storage II</t>
    </r>
  </si>
  <si>
    <r>
      <t xml:space="preserve">Lautsprecher / </t>
    </r>
    <r>
      <rPr>
        <b/>
        <i/>
        <sz val="9"/>
        <color theme="1"/>
        <rFont val="Eurostile LT"/>
        <family val="2"/>
      </rPr>
      <t>Audio</t>
    </r>
  </si>
  <si>
    <t>Zusätzliche Schnittstellen /</t>
  </si>
  <si>
    <t>additional interfaces</t>
  </si>
  <si>
    <t>USB 3.0 Front Unterseite /</t>
  </si>
  <si>
    <t>USB 3.0 Front Bottom</t>
  </si>
  <si>
    <r>
      <t>Betriebssystem /</t>
    </r>
    <r>
      <rPr>
        <b/>
        <i/>
        <sz val="9"/>
        <color theme="1"/>
        <rFont val="Eurostile LT"/>
        <family val="2"/>
      </rPr>
      <t xml:space="preserve"> Operating system</t>
    </r>
  </si>
  <si>
    <t>Herstelldokumente und Beschilderungsblätter /</t>
  </si>
  <si>
    <t>Manufacturing Documents, Labels</t>
  </si>
  <si>
    <r>
      <t xml:space="preserve">Garantie &amp; Service / </t>
    </r>
    <r>
      <rPr>
        <sz val="14"/>
        <rFont val="Eurostile LT Bold"/>
        <family val="2"/>
      </rPr>
      <t>Warranty and Services</t>
    </r>
  </si>
  <si>
    <r>
      <t xml:space="preserve">Garantie / </t>
    </r>
    <r>
      <rPr>
        <b/>
        <i/>
        <sz val="9"/>
        <color theme="1"/>
        <rFont val="Eurostile LT"/>
        <family val="2"/>
      </rPr>
      <t>Warranty</t>
    </r>
  </si>
  <si>
    <t>Händler-Preis /</t>
  </si>
  <si>
    <t>distributor price</t>
  </si>
  <si>
    <r>
      <t xml:space="preserve">netto / </t>
    </r>
    <r>
      <rPr>
        <b/>
        <i/>
        <sz val="9"/>
        <color rgb="FF00B050"/>
        <rFont val="Eurostile LT"/>
        <family val="2"/>
      </rPr>
      <t>net</t>
    </r>
  </si>
  <si>
    <r>
      <t xml:space="preserve">Anzahl / </t>
    </r>
    <r>
      <rPr>
        <b/>
        <i/>
        <sz val="9"/>
        <rFont val="Eurostile LT"/>
        <family val="2"/>
      </rPr>
      <t>Qty.</t>
    </r>
  </si>
  <si>
    <t>MCD Medical Line OMNI.view²</t>
  </si>
  <si>
    <t>PPI00188_D</t>
  </si>
  <si>
    <t>PTR00304_A</t>
  </si>
  <si>
    <t>BB18-0003_A</t>
  </si>
  <si>
    <t>Ratinglabel MCD OMNI.view²</t>
  </si>
  <si>
    <t>DHR MCD OMNI.view²</t>
  </si>
  <si>
    <t>Internes Netzteil</t>
  </si>
  <si>
    <t>IEC-Buchse MCD int. PSU inkl. Erdungskabel</t>
  </si>
  <si>
    <t>DC-Leitung für BEO-0600M/-0440M Serie</t>
  </si>
  <si>
    <t>PMI00193_A</t>
  </si>
  <si>
    <t>Herstellanweisung MCD Medical Line OMNI.view²</t>
  </si>
  <si>
    <t>Video-Kabel</t>
  </si>
  <si>
    <t>7100212M</t>
  </si>
  <si>
    <t>High Speed HDMI Kabel St/St, 2m</t>
  </si>
  <si>
    <t>MCD Medical Line AESCU.certus³</t>
  </si>
  <si>
    <t>3400044M</t>
  </si>
  <si>
    <t>SSD 2.5" SATA3 250GB Samsung 860 EVO</t>
  </si>
  <si>
    <t>6300075M</t>
  </si>
  <si>
    <t>Netzteil Open Frame Bicker BEO-2012MC</t>
  </si>
  <si>
    <t>6300076M</t>
  </si>
  <si>
    <t>Tischnetzteil Bicker BET-1612M 160W inkl. Binder</t>
  </si>
  <si>
    <t>6500066M_B</t>
  </si>
  <si>
    <t>6500068M_B</t>
  </si>
  <si>
    <r>
      <t xml:space="preserve">BTO Komponenten / </t>
    </r>
    <r>
      <rPr>
        <b/>
        <i/>
        <sz val="10"/>
        <color theme="1"/>
        <rFont val="Eurostile LT"/>
        <family val="2"/>
      </rPr>
      <t>BTO components</t>
    </r>
  </si>
  <si>
    <r>
      <t xml:space="preserve">Video-Kabel / </t>
    </r>
    <r>
      <rPr>
        <b/>
        <i/>
        <sz val="9"/>
        <color theme="1"/>
        <rFont val="Eurostile LT"/>
        <family val="2"/>
      </rPr>
      <t>video cables</t>
    </r>
  </si>
  <si>
    <r>
      <t>deutscher Kunde/</t>
    </r>
    <r>
      <rPr>
        <b/>
        <i/>
        <sz val="9"/>
        <color theme="1"/>
        <rFont val="Eurostile LT"/>
        <family val="2"/>
      </rPr>
      <t>german customer?</t>
    </r>
  </si>
  <si>
    <r>
      <t xml:space="preserve">optisches Laufwerk / </t>
    </r>
    <r>
      <rPr>
        <b/>
        <i/>
        <sz val="9"/>
        <color theme="1"/>
        <rFont val="Eurostile LT"/>
        <family val="2"/>
      </rPr>
      <t>optical drive</t>
    </r>
  </si>
  <si>
    <r>
      <t>VESA Halterung /</t>
    </r>
    <r>
      <rPr>
        <b/>
        <i/>
        <sz val="9"/>
        <color theme="1"/>
        <rFont val="Eurostile LT"/>
        <family val="2"/>
      </rPr>
      <t xml:space="preserve"> VESA holder</t>
    </r>
  </si>
  <si>
    <t>3031275M</t>
  </si>
  <si>
    <t>3031276M</t>
  </si>
  <si>
    <t>6500083M_A</t>
  </si>
  <si>
    <t>Handbuch MCD Medical Line AESCU.certus³ DE/EN</t>
  </si>
  <si>
    <t>2000071M</t>
  </si>
  <si>
    <t>MCD Medical AESCU.certus³</t>
  </si>
  <si>
    <t>Heatspreader-Kit MCD AC³ / TL³</t>
  </si>
  <si>
    <t>7100215M</t>
  </si>
  <si>
    <t>Erdungsleitung MCD AC³ POAG -&gt; E-Bolzen 150mm M6</t>
  </si>
  <si>
    <t>7100138M</t>
  </si>
  <si>
    <t>Kabel SATA 50cm gerade/gerade mit Clip</t>
  </si>
  <si>
    <t>7000135M</t>
  </si>
  <si>
    <t>AC³ Kontaktscheibe M6</t>
  </si>
  <si>
    <t>7000136M</t>
  </si>
  <si>
    <t>AC³ Mutter M6</t>
  </si>
  <si>
    <t>7000137M</t>
  </si>
  <si>
    <t>AC³ U-Scheibe M6</t>
  </si>
  <si>
    <t>7000138M</t>
  </si>
  <si>
    <t>AC³ Linsenkopfschraube M3x8, Torx</t>
  </si>
  <si>
    <t>7000139M</t>
  </si>
  <si>
    <t>AC³ Federring M6</t>
  </si>
  <si>
    <t>7000140M</t>
  </si>
  <si>
    <t>AC³ Durchführungstülle</t>
  </si>
  <si>
    <t>7000141M</t>
  </si>
  <si>
    <t>AC³ Linsenkopfschraube M3x4, Torx</t>
  </si>
  <si>
    <t>7000142M</t>
  </si>
  <si>
    <t>AC³ Senkkopfschraube M3x8, Torx</t>
  </si>
  <si>
    <t>7000143M</t>
  </si>
  <si>
    <t>AC³ M3-Sicherungsmutter</t>
  </si>
  <si>
    <t>7000144M</t>
  </si>
  <si>
    <t>AC³ Linsenkopfschraube M3x6, Torx</t>
  </si>
  <si>
    <t>7000145M</t>
  </si>
  <si>
    <t>AC³ Senkkopfschraube M3x12</t>
  </si>
  <si>
    <t>7000146M</t>
  </si>
  <si>
    <t>AC³ Gewindebuchse M3x100, Stahl</t>
  </si>
  <si>
    <t>7000147M</t>
  </si>
  <si>
    <t>AC³ Schraube gewindeformend M3x12</t>
  </si>
  <si>
    <t>7000148M</t>
  </si>
  <si>
    <t>AC³ Puffer, schwarz</t>
  </si>
  <si>
    <t>8220009M</t>
  </si>
  <si>
    <t>8220010M</t>
  </si>
  <si>
    <t>8220011M</t>
  </si>
  <si>
    <t>8220012M</t>
  </si>
  <si>
    <t>BB18-0001_B</t>
  </si>
  <si>
    <t>Gehäuse-Seitenteil AC³ links / rechts Standard</t>
  </si>
  <si>
    <t>Schnittstellen-Abdeckungen</t>
  </si>
  <si>
    <t>3400045M</t>
  </si>
  <si>
    <t>SSD 2.5" SATA3 500GB Samsung 860 EVO</t>
  </si>
  <si>
    <t>3400046M</t>
  </si>
  <si>
    <t>Interne Lautsprecher</t>
  </si>
  <si>
    <t>WLAN</t>
  </si>
  <si>
    <t>PCIe-Karten</t>
  </si>
  <si>
    <t>LCD-Power Adapter OV²</t>
  </si>
  <si>
    <t>Kabel MCD LCD-P-A OV² 1,6m Kunststoffausführung</t>
  </si>
  <si>
    <t>LCD-Power Adapter Std. Displays</t>
  </si>
  <si>
    <t>LCD Power-Adapter, internes Kabel mit Slot-Blech</t>
  </si>
  <si>
    <t>LCD Power-Adapter Anschlusskabel Typ A</t>
  </si>
  <si>
    <t>7100213M</t>
  </si>
  <si>
    <t>RS232 Gender-Changer</t>
  </si>
  <si>
    <t>RS232 galvanisch getrennt</t>
  </si>
  <si>
    <t>ES&amp;S Datenkabel für ES&amp;S RS232-Isolator 350</t>
  </si>
  <si>
    <t>Operating Systems</t>
  </si>
  <si>
    <t>Kabelmanagement Gehäuse AC³</t>
  </si>
  <si>
    <t>Gehäuse-Seitenteil AC³ rechts Wechselrahmen/USB3.0</t>
  </si>
  <si>
    <t>Gehäuse-Satz AC³ MCD</t>
  </si>
  <si>
    <t>Frontbaugruppe Gehäuse AC³ MCD</t>
  </si>
  <si>
    <t>SSD 2.5" SATA3 1TB Samsung 860 EVO</t>
  </si>
  <si>
    <t>AC³ Anteilige EMV-Kosten</t>
  </si>
  <si>
    <t>AC³ Anteilige Entwicklungskosten</t>
  </si>
  <si>
    <t>AC³ Anteilige Werkzeugkosten</t>
  </si>
  <si>
    <t>AC³ Anteilige Prototypen-Kosten</t>
  </si>
  <si>
    <t>Gehäuse AC2 Heatpipe für CPU 300mm</t>
  </si>
  <si>
    <t>FIR00271</t>
  </si>
  <si>
    <t>Firmware MCD TL³ FIR00271</t>
  </si>
  <si>
    <t>1 bis 3</t>
  </si>
  <si>
    <t>HOT-Swap SATA-Laufwerke</t>
  </si>
  <si>
    <t>USB 3.0 seitlich</t>
  </si>
  <si>
    <r>
      <t>Datenspeicher III /</t>
    </r>
    <r>
      <rPr>
        <b/>
        <i/>
        <sz val="9"/>
        <color theme="1"/>
        <rFont val="Eurostile LT"/>
        <family val="2"/>
      </rPr>
      <t xml:space="preserve"> Data Storage III</t>
    </r>
  </si>
  <si>
    <r>
      <t xml:space="preserve">Position / </t>
    </r>
    <r>
      <rPr>
        <b/>
        <i/>
        <sz val="9"/>
        <color theme="1"/>
        <rFont val="Eurostile LT"/>
        <family val="2"/>
      </rPr>
      <t>position</t>
    </r>
  </si>
  <si>
    <t>USB 3.0 Seite rechts /</t>
  </si>
  <si>
    <t>USB 3.0 right side</t>
  </si>
  <si>
    <r>
      <t>Betriebssystem /</t>
    </r>
    <r>
      <rPr>
        <b/>
        <i/>
        <sz val="9"/>
        <rFont val="Eurostile LT"/>
        <family val="2"/>
      </rPr>
      <t xml:space="preserve"> Operating system</t>
    </r>
  </si>
  <si>
    <t>7300185M</t>
  </si>
  <si>
    <t>7300186M</t>
  </si>
  <si>
    <t>7300187M</t>
  </si>
  <si>
    <t>6000021M</t>
  </si>
  <si>
    <t>Visaton Vibrationslautsprecher EX60S</t>
  </si>
  <si>
    <t>Datenträger AC³ Position Standard</t>
  </si>
  <si>
    <t>Datenträger AC³ Position "Wechselrahmen oben"</t>
  </si>
  <si>
    <t>Datenträger AC³ Position "Wechselrahmen unten"</t>
  </si>
  <si>
    <t>EX60S (25 Watt)</t>
  </si>
  <si>
    <t>7100217M</t>
  </si>
  <si>
    <t>8 bis 10</t>
  </si>
  <si>
    <t>5 bis 7</t>
  </si>
  <si>
    <t>10 bis 14</t>
  </si>
  <si>
    <t>7000150M</t>
  </si>
  <si>
    <t>7000151M</t>
  </si>
  <si>
    <t>7000152M</t>
  </si>
  <si>
    <t>PMI00192_B</t>
  </si>
  <si>
    <t>BB18-0007_A</t>
  </si>
  <si>
    <t>3600065M</t>
  </si>
  <si>
    <t>Magewell Pro Capture AIO 4K</t>
  </si>
  <si>
    <t>3600066M</t>
  </si>
  <si>
    <t>LWL-Karte PEX1000MMSC2</t>
  </si>
  <si>
    <t>6000022M</t>
  </si>
  <si>
    <t>Visaton Vibrationslautsprecher EX80S</t>
  </si>
  <si>
    <t>AC³ Linsenkopfschraube M3x10, Torx</t>
  </si>
  <si>
    <t>AC³ U-Scheibe 3,2, Torx</t>
  </si>
  <si>
    <t>AC³ Zylinderschraube M4x10</t>
  </si>
  <si>
    <t>Kabelsatz AC³ Front-Baugruppe</t>
  </si>
  <si>
    <t>8120061M</t>
  </si>
  <si>
    <t>BIOS MCD AC³ (R1.16.0) WIN10 D3433-S2</t>
  </si>
  <si>
    <t>8120062M</t>
  </si>
  <si>
    <t>BIOS MCD AC³ (R1.16.0) IGEL UDC3 D3433-S2</t>
  </si>
  <si>
    <t>Betriebssystem auf folgenden Datenträger:</t>
  </si>
  <si>
    <t>AESCU.certus³ MCD Betriebs- und Lagerbedingungen</t>
  </si>
  <si>
    <t>0 o.1 o. 2</t>
  </si>
  <si>
    <t>0 o. 4</t>
  </si>
  <si>
    <t>O/S?</t>
  </si>
  <si>
    <t>AESCU.certus³</t>
  </si>
  <si>
    <t>PCI / PCIe</t>
  </si>
  <si>
    <t>Eltec pi3_RGB PCI</t>
  </si>
  <si>
    <t>EX80S (50 Watt)</t>
  </si>
  <si>
    <t>EX45S (10 Watt)</t>
  </si>
  <si>
    <t>3000013M</t>
  </si>
  <si>
    <t>Verstärker VISATON AMP2.2</t>
  </si>
  <si>
    <t>8120067M</t>
  </si>
  <si>
    <t>Kabylake</t>
  </si>
  <si>
    <t>Skylake</t>
  </si>
  <si>
    <t>Hinweis für die Auftragsbearbeitung: so lange Bestand auf die Baugruppe ohne "_B" existiert, wird dieser zuerst in Fertigungsaufträgen verwendet, bis diese aufgebraucht sind!</t>
  </si>
  <si>
    <t>PCI / PCIe-Karten</t>
  </si>
  <si>
    <t xml:space="preserve"> Framegrabber Magewell Pro Capture AIO 4K</t>
  </si>
  <si>
    <t>Startech LWL-Karte PEX1000MMSC2</t>
  </si>
  <si>
    <t>Framegrabber Magewell Pro Capture AIO 4K</t>
  </si>
  <si>
    <t xml:space="preserve"> LWL-Karte PEX1000MMSC2</t>
  </si>
  <si>
    <t>Garantie 36 Monate (Bring-In)</t>
  </si>
  <si>
    <t>AC³ M3-Sicherungsmutter (2 Stück je Provertha)</t>
  </si>
  <si>
    <t>AC³ Linsenkopfschraube M3x8, Torx  (2 Stück je Provertha)</t>
  </si>
  <si>
    <t>0-6</t>
  </si>
  <si>
    <t xml:space="preserve"> </t>
  </si>
  <si>
    <r>
      <t>RAID-Level</t>
    </r>
    <r>
      <rPr>
        <b/>
        <i/>
        <sz val="9"/>
        <color theme="1"/>
        <rFont val="Eurostile LT"/>
        <family val="2"/>
      </rPr>
      <t xml:space="preserve"> / RAID-Level</t>
    </r>
  </si>
  <si>
    <t>Verfügbar Lager</t>
  </si>
  <si>
    <t>3600068M</t>
  </si>
  <si>
    <t>DeckLink SDI 4K</t>
  </si>
  <si>
    <t>3400051M</t>
  </si>
  <si>
    <t>HDD 3.5" Seagate 1TB SATA3 ST1000DM010</t>
  </si>
  <si>
    <t>3400052M</t>
  </si>
  <si>
    <t>WD SSD M.2 (2280) 120GB Green SATA3</t>
  </si>
  <si>
    <t>7100224M</t>
  </si>
  <si>
    <t>Linsenkopfschraube verz. M3 x 6</t>
  </si>
  <si>
    <t>Handbuch MCD Medical Line PANA.ceia³  DE/EN</t>
  </si>
  <si>
    <t>6500093M</t>
  </si>
  <si>
    <t>MCD Produktflyer Man &amp; Machine</t>
  </si>
  <si>
    <t>Ratinglabel MCD Medical Line PANA.ceia³</t>
  </si>
  <si>
    <t>CPU Intel Core i3-6100 / LGA1151 / Box, 3.70 GHz, 47W</t>
  </si>
  <si>
    <t>CPU Intel Core i5-6500 / LGA1151 / Box, 3.60 GHz, 65W</t>
  </si>
  <si>
    <t>CPU Intel Core i7-6700 / LGA1151 / Box, 4.00 GHz, 65W</t>
  </si>
  <si>
    <t>Bei i3-Prozessor: 1x CPU-Lüfter S115X Low Profile</t>
  </si>
  <si>
    <t>HDD / SSD</t>
  </si>
  <si>
    <t>HDD 500GB SATA ST500DM002</t>
  </si>
  <si>
    <t>SSD 2.5" Intel 150GB S3520 Serie MLC SATA3</t>
  </si>
  <si>
    <t>SSD 2.5" Intel 240GB S3520 Serie MLC SATA3</t>
  </si>
  <si>
    <t>MCD Produktflyer Man&amp;Machine</t>
  </si>
  <si>
    <t>8120068M</t>
  </si>
  <si>
    <t>BIOS PC³ (R1.19.0) WIN10 D3402-B2</t>
  </si>
  <si>
    <t>x4</t>
  </si>
  <si>
    <t>Lüfter</t>
  </si>
  <si>
    <t>(06.11.2018)</t>
  </si>
  <si>
    <t>Embedded Intel i5-7500T (6M Cache, 3.30 GHz)</t>
  </si>
  <si>
    <t>7100225M</t>
  </si>
  <si>
    <t>Kabel SATA gewinkelt, 50cm, gelb, intern, mit Clip</t>
  </si>
  <si>
    <t>7100226M</t>
  </si>
  <si>
    <t>Umkarton AESCU.certus³ / PANA.ceia³</t>
  </si>
  <si>
    <t>Schaumteile AESCU.certus³ / PANA.ceia³</t>
  </si>
  <si>
    <t>Zubehörkarton AESCU.certus³ / PANA.ceia³</t>
  </si>
  <si>
    <t>8120069M</t>
  </si>
  <si>
    <t>BIOS TL³ WIN10 Version R1.20 D3433-S2</t>
  </si>
  <si>
    <t>8120070M</t>
  </si>
  <si>
    <t>PMI00177_H</t>
  </si>
  <si>
    <t>PPI00192_F</t>
  </si>
  <si>
    <t>PPI00206_C</t>
  </si>
  <si>
    <t>PTI00191_D</t>
  </si>
  <si>
    <t>PTI00197_G</t>
  </si>
  <si>
    <t>PTI00210_B</t>
  </si>
  <si>
    <t>PTR00284_D</t>
  </si>
  <si>
    <t>Rev. N</t>
  </si>
  <si>
    <t>Dupont-Stecker (4-pol.)</t>
  </si>
  <si>
    <t>Selbstsichernde Mutter (für POAG Set)</t>
  </si>
  <si>
    <t>Hologramm "Original Siegel"</t>
  </si>
  <si>
    <t>MCD Transport- / Lagerbedingungen</t>
  </si>
  <si>
    <t>für SSD</t>
  </si>
  <si>
    <t>für HDD</t>
  </si>
  <si>
    <t>Schraube M3x6 Linse VA Kreuz</t>
  </si>
  <si>
    <t>Kabel Molex inkl. Widerstand 27 Ohm</t>
  </si>
  <si>
    <t>bei 1 x SSD</t>
  </si>
  <si>
    <t>bei 7100226M</t>
  </si>
  <si>
    <t>max. 1</t>
  </si>
  <si>
    <t>2430000-1</t>
  </si>
  <si>
    <t>Rev. D</t>
  </si>
  <si>
    <t>2180053-1</t>
  </si>
  <si>
    <t>3600058M-1</t>
  </si>
  <si>
    <t>4100017M</t>
  </si>
  <si>
    <t>7300153M-1</t>
  </si>
  <si>
    <t>BIOS TL³ IGEL (UDC 3) Vers. R1.20 D3433-S2</t>
  </si>
  <si>
    <t>PMI00191_C</t>
  </si>
  <si>
    <t>PPI00205_C</t>
  </si>
  <si>
    <t>PTI00208_C</t>
  </si>
  <si>
    <t>PTR00302_C</t>
  </si>
  <si>
    <t>Azurwave WiFi-AC</t>
  </si>
  <si>
    <t>Intel WiFi-AC</t>
  </si>
  <si>
    <t>IGEL UDC3 Licence incl 3J. MT + Multimedia Codec Pack</t>
  </si>
  <si>
    <t>Rev. C</t>
  </si>
  <si>
    <t>Mainboard mITX Fujitsu D3433-S (MCD)</t>
  </si>
  <si>
    <t>Hologramm "Original Siegel" MCD Medical Line</t>
  </si>
  <si>
    <t>Consumer Intel i3-6300T (4M Cache, up to 3.30 GHz)</t>
  </si>
  <si>
    <t>Consumer Intel i5-6400T (6M Cache, up to 2.80 GHz)</t>
  </si>
  <si>
    <t>Consumer Intel i7-6700T (8M Cache, up to 3.60 GHz)</t>
  </si>
  <si>
    <t xml:space="preserve">Embedded Intel® Core™ i3-6100TE Processor (4M Cache, 2.70 GHz) </t>
  </si>
  <si>
    <t>Embedded Intel® Core™ i5-6500TE Processor (6M Cache, up to 3.30 GHz)</t>
  </si>
  <si>
    <t>Embedded  Intel® Core™ i7-6700TE Processor (8M Cache, up to 3.40 GHz)</t>
  </si>
  <si>
    <t>CPU Intel Celeron G3900TE (2M Cache, 2.3 GHz)</t>
  </si>
  <si>
    <t>RAM SO-DIMM 4GB DDR4 PC2400 Samsung</t>
  </si>
  <si>
    <t>RAM SO-DIMM 8GB DDR4 PC2400 Samsung</t>
  </si>
  <si>
    <t>SSD M.2 SM220-M242 SATA3 128GB</t>
  </si>
  <si>
    <t>MCD AESCU.nano VESA Halterung</t>
  </si>
  <si>
    <t>8120072M</t>
  </si>
  <si>
    <t>BIOS MCD AN (R1.23.0) WIN10 D3433-S</t>
  </si>
  <si>
    <t>8120073M</t>
  </si>
  <si>
    <t>BIOS MCD AN (R1.23.0) IGEL UDC3 D3433-S</t>
  </si>
  <si>
    <t>PTI00200_E</t>
  </si>
  <si>
    <t>PPI00197_D</t>
  </si>
  <si>
    <t>PTR00292_E</t>
  </si>
  <si>
    <t>Rev. H</t>
  </si>
  <si>
    <r>
      <t xml:space="preserve">Produktname / </t>
    </r>
    <r>
      <rPr>
        <i/>
        <sz val="8"/>
        <color theme="0"/>
        <rFont val="Arial"/>
        <family val="2"/>
      </rPr>
      <t>product name:</t>
    </r>
  </si>
  <si>
    <r>
      <t>M3x4 Senkkopfschraube (</t>
    </r>
    <r>
      <rPr>
        <b/>
        <sz val="9"/>
        <color theme="0"/>
        <rFont val="Arial"/>
        <family val="2"/>
      </rPr>
      <t>1x HDD/SSD = 4 Stück, 2x HDD/SSD = 7 Stück</t>
    </r>
    <r>
      <rPr>
        <sz val="9"/>
        <color theme="0"/>
        <rFont val="Arial"/>
        <family val="2"/>
      </rPr>
      <t>)</t>
    </r>
  </si>
  <si>
    <r>
      <t>Schraube Taptite M3x10</t>
    </r>
    <r>
      <rPr>
        <b/>
        <sz val="9"/>
        <color theme="0"/>
        <rFont val="Arial"/>
        <family val="2"/>
      </rPr>
      <t xml:space="preserve"> (4 Stück)</t>
    </r>
  </si>
  <si>
    <r>
      <t xml:space="preserve">MCD Abstandsbolzen UNC </t>
    </r>
    <r>
      <rPr>
        <b/>
        <sz val="9"/>
        <color theme="0"/>
        <rFont val="Arial"/>
        <family val="2"/>
      </rPr>
      <t>(2 Stück je galv. Trennung)</t>
    </r>
  </si>
  <si>
    <r>
      <t xml:space="preserve">Unterschrift / </t>
    </r>
    <r>
      <rPr>
        <i/>
        <sz val="8"/>
        <color theme="0"/>
        <rFont val="Arial"/>
        <family val="2"/>
      </rPr>
      <t>Signature: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</si>
</sst>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_-* #,##0.00\ [$€-407]_-;\-* #,##0.00\ [$€-407]_-;_-* &quot;-&quot;??\ [$€-407]_-;_-@_-"/>
    <numFmt numFmtId="165" formatCode="_-[$$-409]* #,##0.0000_ ;_-[$$-409]* \-#,##0.0000\ ;_-[$$-409]* &quot;-&quot;????_ ;_-@_ "/>
  </numFmts>
  <fonts count="7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Eurostile LT"/>
      <family val="2"/>
    </font>
    <font>
      <sz val="11"/>
      <name val="Eurostile LT"/>
      <family val="2"/>
    </font>
    <font>
      <b/>
      <sz val="11"/>
      <name val="Eurostile LT"/>
      <family val="2"/>
    </font>
    <font>
      <sz val="20"/>
      <name val="Eurostile LT Bold"/>
      <family val="2"/>
    </font>
    <font>
      <sz val="16"/>
      <name val="Eurostile LT Bold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i/>
      <sz val="8"/>
      <color theme="1"/>
      <name val="Arial"/>
      <family val="2"/>
    </font>
    <font>
      <b/>
      <sz val="11"/>
      <color theme="1"/>
      <name val="Eurostile LT"/>
      <family val="2"/>
    </font>
    <font>
      <b/>
      <sz val="18"/>
      <color rgb="FFFF0000"/>
      <name val="Eurostile LT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2"/>
      <color theme="1"/>
      <name val="Eurostile LT"/>
      <family val="2"/>
    </font>
    <font>
      <sz val="11"/>
      <color theme="0"/>
      <name val="Eurostile LT"/>
      <family val="2"/>
    </font>
    <font>
      <sz val="20"/>
      <color theme="1"/>
      <name val="Eurostile LT"/>
      <family val="2"/>
    </font>
    <font>
      <sz val="11"/>
      <color rgb="FF9C0006"/>
      <name val="Calibri"/>
      <family val="2"/>
      <scheme val="minor"/>
    </font>
    <font>
      <b/>
      <sz val="10"/>
      <color rgb="FFFF0000"/>
      <name val="Eurostile LT"/>
      <family val="2"/>
    </font>
    <font>
      <b/>
      <sz val="14"/>
      <color theme="1"/>
      <name val="Eurostile LT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Eurostile LT"/>
      <family val="2"/>
    </font>
    <font>
      <sz val="11"/>
      <color rgb="FF006100"/>
      <name val="Calibri"/>
      <family val="2"/>
      <scheme val="minor"/>
    </font>
    <font>
      <b/>
      <sz val="12"/>
      <color rgb="FFFF0000"/>
      <name val="Arial"/>
      <family val="2"/>
    </font>
    <font>
      <sz val="20"/>
      <color rgb="FFFF0000"/>
      <name val="Eurostile L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6"/>
      <name val="Eurostile LT"/>
      <family val="2"/>
    </font>
    <font>
      <b/>
      <sz val="14"/>
      <color rgb="FFFF0000"/>
      <name val="Eurostile LT"/>
      <family val="2"/>
    </font>
    <font>
      <sz val="11"/>
      <color rgb="FFFF0000"/>
      <name val="Eurostile LT"/>
      <family val="2"/>
    </font>
    <font>
      <sz val="11"/>
      <color rgb="FF00B050"/>
      <name val="Calibri"/>
      <family val="2"/>
      <scheme val="minor"/>
    </font>
    <font>
      <b/>
      <sz val="11"/>
      <color theme="0"/>
      <name val="Eurostile LT"/>
      <family val="2"/>
    </font>
    <font>
      <b/>
      <sz val="14"/>
      <color theme="0"/>
      <name val="Eurostile LT"/>
      <family val="2"/>
    </font>
    <font>
      <sz val="20"/>
      <color theme="0"/>
      <name val="Eurostile LT Bold"/>
      <family val="2"/>
    </font>
    <font>
      <sz val="16"/>
      <color theme="0"/>
      <name val="Eurostile LT Bold"/>
      <family val="2"/>
    </font>
    <font>
      <b/>
      <sz val="20"/>
      <name val="Eurostile LT Bold"/>
      <family val="2"/>
    </font>
    <font>
      <b/>
      <sz val="20"/>
      <color theme="1"/>
      <name val="Eurostile LT"/>
      <family val="2"/>
    </font>
    <font>
      <b/>
      <sz val="20"/>
      <color theme="0"/>
      <name val="Eurostile LT Bold"/>
      <family val="2"/>
    </font>
    <font>
      <b/>
      <sz val="20"/>
      <color rgb="FFFF0000"/>
      <name val="Eurostile LT"/>
      <family val="2"/>
    </font>
    <font>
      <b/>
      <sz val="20"/>
      <name val="Eurostile LT Bold"/>
      <family val="2"/>
    </font>
    <font>
      <b/>
      <u/>
      <sz val="11"/>
      <color rgb="FFFF0000"/>
      <name val="Eurostile LT"/>
      <family val="2"/>
    </font>
    <font>
      <b/>
      <u/>
      <sz val="11"/>
      <color rgb="FFFF0000"/>
      <name val="Calibri"/>
      <family val="2"/>
      <scheme val="minor"/>
    </font>
    <font>
      <b/>
      <sz val="14"/>
      <color rgb="FF00B050"/>
      <name val="Eurostile LT"/>
      <family val="2"/>
    </font>
    <font>
      <b/>
      <sz val="11"/>
      <color rgb="FF00B050"/>
      <name val="Eurostile LT"/>
      <family val="2"/>
    </font>
    <font>
      <i/>
      <sz val="9"/>
      <color theme="1"/>
      <name val="Eurostile LT"/>
      <family val="2"/>
    </font>
    <font>
      <i/>
      <sz val="9"/>
      <color rgb="FF00B050"/>
      <name val="Eurostile LT"/>
      <family val="2"/>
    </font>
    <font>
      <b/>
      <i/>
      <sz val="16"/>
      <name val="Eurostile LT Bold"/>
      <family val="2"/>
    </font>
    <font>
      <b/>
      <i/>
      <sz val="10"/>
      <color theme="1"/>
      <name val="Eurostile LT"/>
      <family val="2"/>
    </font>
    <font>
      <b/>
      <i/>
      <sz val="9"/>
      <name val="Eurostile LT"/>
      <family val="2"/>
    </font>
    <font>
      <b/>
      <i/>
      <sz val="9"/>
      <color theme="1"/>
      <name val="Eurostile LT"/>
      <family val="2"/>
    </font>
    <font>
      <sz val="14"/>
      <name val="Eurostile LT Bold"/>
      <family val="2"/>
    </font>
    <font>
      <b/>
      <i/>
      <sz val="9"/>
      <color rgb="FF00B050"/>
      <name val="Eurostile LT"/>
      <family val="2"/>
    </font>
    <font>
      <b/>
      <sz val="10"/>
      <color rgb="FF00B0F0"/>
      <name val="Eurostile LT"/>
      <family val="2"/>
    </font>
    <font>
      <sz val="10"/>
      <color theme="0"/>
      <name val="Eurostile LT"/>
      <family val="2"/>
    </font>
    <font>
      <sz val="10"/>
      <color theme="0"/>
      <name val="Arial"/>
      <family val="2"/>
    </font>
    <font>
      <i/>
      <sz val="8"/>
      <color theme="0"/>
      <name val="Arial"/>
      <family val="2"/>
    </font>
    <font>
      <b/>
      <sz val="12"/>
      <color theme="0"/>
      <name val="Arial"/>
      <family val="2"/>
    </font>
    <font>
      <i/>
      <u/>
      <sz val="12"/>
      <color theme="0"/>
      <name val="Arial"/>
      <family val="2"/>
    </font>
    <font>
      <b/>
      <sz val="11"/>
      <color theme="0"/>
      <name val="Arial"/>
      <family val="2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sz val="9"/>
      <color theme="0"/>
      <name val="Calibri"/>
      <family val="2"/>
      <scheme val="minor"/>
    </font>
    <font>
      <b/>
      <sz val="7"/>
      <color theme="0"/>
      <name val="Eurostile LT"/>
      <family val="2"/>
    </font>
    <font>
      <b/>
      <sz val="20"/>
      <color theme="0"/>
      <name val="Eurostile LT"/>
      <family val="2"/>
    </font>
  </fonts>
  <fills count="3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0000"/>
        <bgColor indexed="64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5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2" borderId="0"/>
    <xf numFmtId="0" fontId="2" fillId="0" borderId="0"/>
    <xf numFmtId="44" fontId="1" fillId="0" borderId="0" applyFont="0" applyFill="0" applyBorder="0" applyAlignment="0" applyProtection="0"/>
    <xf numFmtId="0" fontId="18" fillId="5" borderId="0" applyNumberFormat="0" applyBorder="0" applyAlignment="0" applyProtection="0"/>
    <xf numFmtId="0" fontId="21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24" fillId="8" borderId="0" applyNumberFormat="0" applyBorder="0" applyAlignment="0" applyProtection="0"/>
    <xf numFmtId="0" fontId="27" fillId="0" borderId="0" applyNumberFormat="0" applyFill="0" applyBorder="0" applyAlignment="0" applyProtection="0"/>
    <xf numFmtId="0" fontId="28" fillId="0" borderId="10" applyNumberFormat="0" applyFill="0" applyAlignment="0" applyProtection="0"/>
    <xf numFmtId="0" fontId="29" fillId="0" borderId="11" applyNumberFormat="0" applyFill="0" applyAlignment="0" applyProtection="0"/>
    <xf numFmtId="0" fontId="30" fillId="0" borderId="12" applyNumberFormat="0" applyFill="0" applyAlignment="0" applyProtection="0"/>
    <xf numFmtId="0" fontId="30" fillId="0" borderId="0" applyNumberFormat="0" applyFill="0" applyBorder="0" applyAlignment="0" applyProtection="0"/>
    <xf numFmtId="0" fontId="31" fillId="10" borderId="0" applyNumberFormat="0" applyBorder="0" applyAlignment="0" applyProtection="0"/>
    <xf numFmtId="0" fontId="32" fillId="11" borderId="13" applyNumberFormat="0" applyAlignment="0" applyProtection="0"/>
    <xf numFmtId="0" fontId="33" fillId="12" borderId="14" applyNumberFormat="0" applyAlignment="0" applyProtection="0"/>
    <xf numFmtId="0" fontId="34" fillId="12" borderId="13" applyNumberFormat="0" applyAlignment="0" applyProtection="0"/>
    <xf numFmtId="0" fontId="35" fillId="0" borderId="15" applyNumberFormat="0" applyFill="0" applyAlignment="0" applyProtection="0"/>
    <xf numFmtId="0" fontId="36" fillId="13" borderId="16" applyNumberFormat="0" applyAlignment="0" applyProtection="0"/>
    <xf numFmtId="0" fontId="37" fillId="0" borderId="0" applyNumberFormat="0" applyFill="0" applyBorder="0" applyAlignment="0" applyProtection="0"/>
    <xf numFmtId="0" fontId="1" fillId="14" borderId="17" applyNumberFormat="0" applyFont="0" applyAlignment="0" applyProtection="0"/>
    <xf numFmtId="0" fontId="38" fillId="0" borderId="0" applyNumberFormat="0" applyFill="0" applyBorder="0" applyAlignment="0" applyProtection="0"/>
    <xf numFmtId="0" fontId="22" fillId="0" borderId="18" applyNumberFormat="0" applyFill="0" applyAlignment="0" applyProtection="0"/>
    <xf numFmtId="0" fontId="39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39" fillId="18" borderId="0" applyNumberFormat="0" applyBorder="0" applyAlignment="0" applyProtection="0"/>
    <xf numFmtId="0" fontId="39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39" fillId="22" borderId="0" applyNumberFormat="0" applyBorder="0" applyAlignment="0" applyProtection="0"/>
    <xf numFmtId="0" fontId="39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39" fillId="26" borderId="0" applyNumberFormat="0" applyBorder="0" applyAlignment="0" applyProtection="0"/>
    <xf numFmtId="0" fontId="39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39" fillId="30" borderId="0" applyNumberFormat="0" applyBorder="0" applyAlignment="0" applyProtection="0"/>
    <xf numFmtId="0" fontId="39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39" fillId="34" borderId="0" applyNumberFormat="0" applyBorder="0" applyAlignment="0" applyProtection="0"/>
    <xf numFmtId="0" fontId="39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39" fillId="38" borderId="0" applyNumberFormat="0" applyBorder="0" applyAlignment="0" applyProtection="0"/>
    <xf numFmtId="0" fontId="4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1" fillId="14" borderId="17" applyNumberFormat="0" applyFont="0" applyAlignment="0" applyProtection="0"/>
  </cellStyleXfs>
  <cellXfs count="428">
    <xf numFmtId="0" fontId="0" fillId="0" borderId="0" xfId="0"/>
    <xf numFmtId="0" fontId="5" fillId="4" borderId="0" xfId="5" applyFont="1" applyFill="1" applyBorder="1" applyAlignment="1" applyProtection="1">
      <alignment horizontal="left" vertical="center"/>
    </xf>
    <xf numFmtId="9" fontId="5" fillId="4" borderId="0" xfId="2" applyFont="1" applyFill="1" applyBorder="1" applyAlignment="1" applyProtection="1">
      <alignment horizontal="left" vertical="center"/>
    </xf>
    <xf numFmtId="0" fontId="3" fillId="4" borderId="0" xfId="0" applyFont="1" applyFill="1" applyBorder="1" applyAlignment="1" applyProtection="1">
      <alignment vertical="center"/>
    </xf>
    <xf numFmtId="0" fontId="4" fillId="4" borderId="0" xfId="5" applyFont="1" applyFill="1" applyBorder="1" applyAlignment="1" applyProtection="1">
      <alignment horizontal="left" vertical="center"/>
    </xf>
    <xf numFmtId="9" fontId="4" fillId="4" borderId="0" xfId="2" applyFont="1" applyFill="1" applyBorder="1" applyAlignment="1" applyProtection="1">
      <alignment horizontal="left" vertical="center"/>
    </xf>
    <xf numFmtId="1" fontId="4" fillId="4" borderId="0" xfId="5" applyNumberFormat="1" applyFont="1" applyFill="1" applyBorder="1" applyAlignment="1" applyProtection="1">
      <alignment horizontal="center" vertical="center"/>
    </xf>
    <xf numFmtId="44" fontId="3" fillId="4" borderId="0" xfId="1" applyFont="1" applyFill="1" applyBorder="1" applyAlignment="1" applyProtection="1">
      <alignment vertical="center"/>
    </xf>
    <xf numFmtId="44" fontId="3" fillId="4" borderId="0" xfId="0" applyNumberFormat="1" applyFont="1" applyFill="1" applyBorder="1" applyAlignment="1" applyProtection="1">
      <alignment vertical="center"/>
    </xf>
    <xf numFmtId="9" fontId="3" fillId="4" borderId="0" xfId="2" applyFont="1" applyFill="1" applyBorder="1" applyAlignment="1" applyProtection="1">
      <alignment vertical="center"/>
    </xf>
    <xf numFmtId="0" fontId="11" fillId="4" borderId="0" xfId="0" applyFont="1" applyFill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0" fontId="3" fillId="4" borderId="0" xfId="0" applyFont="1" applyFill="1" applyAlignment="1" applyProtection="1">
      <alignment horizontal="right" vertical="center"/>
    </xf>
    <xf numFmtId="0" fontId="11" fillId="4" borderId="0" xfId="0" applyFont="1" applyFill="1" applyBorder="1" applyAlignment="1" applyProtection="1">
      <alignment vertical="center"/>
    </xf>
    <xf numFmtId="10" fontId="3" fillId="4" borderId="0" xfId="2" applyNumberFormat="1" applyFont="1" applyFill="1" applyBorder="1" applyAlignment="1" applyProtection="1">
      <alignment vertical="center"/>
    </xf>
    <xf numFmtId="0" fontId="6" fillId="4" borderId="0" xfId="3" applyFont="1" applyFill="1" applyBorder="1" applyAlignment="1" applyProtection="1">
      <alignment vertical="center"/>
    </xf>
    <xf numFmtId="0" fontId="6" fillId="4" borderId="0" xfId="3" applyFont="1" applyFill="1" applyBorder="1" applyAlignment="1" applyProtection="1">
      <alignment horizontal="right" vertical="center"/>
    </xf>
    <xf numFmtId="0" fontId="4" fillId="4" borderId="0" xfId="3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/>
    <xf numFmtId="0" fontId="3" fillId="4" borderId="0" xfId="0" applyFont="1" applyFill="1" applyAlignment="1" applyProtection="1">
      <alignment vertical="center"/>
    </xf>
    <xf numFmtId="0" fontId="17" fillId="4" borderId="0" xfId="0" applyFont="1" applyFill="1" applyAlignment="1" applyProtection="1">
      <alignment vertical="center"/>
    </xf>
    <xf numFmtId="0" fontId="17" fillId="4" borderId="0" xfId="0" applyFont="1" applyFill="1" applyBorder="1" applyAlignment="1" applyProtection="1">
      <alignment vertical="center"/>
    </xf>
    <xf numFmtId="0" fontId="6" fillId="4" borderId="0" xfId="3" applyFont="1" applyFill="1" applyBorder="1" applyAlignment="1" applyProtection="1">
      <alignment horizontal="center" vertical="center"/>
    </xf>
    <xf numFmtId="0" fontId="3" fillId="4" borderId="0" xfId="0" applyFont="1" applyFill="1" applyAlignment="1" applyProtection="1">
      <alignment horizontal="center" vertical="center"/>
    </xf>
    <xf numFmtId="0" fontId="5" fillId="4" borderId="0" xfId="5" applyFont="1" applyFill="1" applyBorder="1" applyAlignment="1" applyProtection="1">
      <alignment horizontal="center" vertical="center"/>
    </xf>
    <xf numFmtId="0" fontId="7" fillId="4" borderId="0" xfId="3" applyFont="1" applyFill="1" applyBorder="1" applyAlignment="1" applyProtection="1">
      <alignment horizontal="center" vertical="center"/>
    </xf>
    <xf numFmtId="44" fontId="3" fillId="4" borderId="0" xfId="0" applyNumberFormat="1" applyFont="1" applyFill="1" applyBorder="1" applyAlignment="1" applyProtection="1">
      <alignment horizontal="center" vertical="center"/>
    </xf>
    <xf numFmtId="0" fontId="4" fillId="4" borderId="0" xfId="3" applyFont="1" applyFill="1" applyBorder="1" applyAlignment="1" applyProtection="1">
      <alignment horizontal="center" vertical="center"/>
    </xf>
    <xf numFmtId="0" fontId="5" fillId="4" borderId="0" xfId="0" applyFont="1" applyFill="1" applyBorder="1" applyAlignment="1" applyProtection="1">
      <alignment horizontal="right" vertical="center"/>
    </xf>
    <xf numFmtId="0" fontId="4" fillId="4" borderId="0" xfId="0" applyFont="1" applyFill="1" applyBorder="1" applyAlignment="1" applyProtection="1">
      <alignment vertical="center"/>
    </xf>
    <xf numFmtId="0" fontId="4" fillId="4" borderId="0" xfId="0" applyFont="1" applyFill="1" applyBorder="1" applyAlignment="1" applyProtection="1">
      <alignment horizontal="center" vertical="center"/>
    </xf>
    <xf numFmtId="10" fontId="4" fillId="4" borderId="0" xfId="2" applyNumberFormat="1" applyFont="1" applyFill="1" applyBorder="1" applyAlignment="1" applyProtection="1">
      <alignment vertical="center"/>
    </xf>
    <xf numFmtId="44" fontId="4" fillId="4" borderId="0" xfId="1" applyFont="1" applyFill="1" applyBorder="1" applyAlignment="1" applyProtection="1">
      <alignment vertical="center"/>
    </xf>
    <xf numFmtId="0" fontId="4" fillId="4" borderId="0" xfId="0" applyFont="1" applyFill="1" applyAlignment="1" applyProtection="1">
      <alignment vertical="center"/>
    </xf>
    <xf numFmtId="0" fontId="4" fillId="4" borderId="0" xfId="0" applyFont="1" applyFill="1" applyAlignment="1" applyProtection="1">
      <alignment horizontal="center" vertical="center"/>
    </xf>
    <xf numFmtId="44" fontId="4" fillId="4" borderId="0" xfId="1" applyNumberFormat="1" applyFont="1" applyFill="1" applyBorder="1" applyAlignment="1" applyProtection="1">
      <alignment horizontal="center" vertical="center"/>
    </xf>
    <xf numFmtId="0" fontId="2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0" fillId="4" borderId="0" xfId="0" applyFont="1" applyFill="1" applyAlignment="1" applyProtection="1">
      <alignment horizontal="center" vertical="center"/>
    </xf>
    <xf numFmtId="0" fontId="21" fillId="4" borderId="0" xfId="8" applyFill="1" applyBorder="1" applyAlignment="1" applyProtection="1">
      <alignment horizontal="left" vertical="center"/>
    </xf>
    <xf numFmtId="14" fontId="3" fillId="4" borderId="0" xfId="0" applyNumberFormat="1" applyFont="1" applyFill="1" applyBorder="1" applyAlignment="1" applyProtection="1">
      <alignment horizontal="left" vertical="center"/>
    </xf>
    <xf numFmtId="0" fontId="3" fillId="4" borderId="0" xfId="0" applyFont="1" applyFill="1" applyBorder="1" applyAlignment="1" applyProtection="1">
      <alignment horizontal="center" vertical="center"/>
    </xf>
    <xf numFmtId="0" fontId="6" fillId="4" borderId="0" xfId="3" applyFont="1" applyFill="1" applyBorder="1" applyAlignment="1" applyProtection="1">
      <alignment horizontal="left" vertical="center"/>
    </xf>
    <xf numFmtId="49" fontId="2" fillId="0" borderId="8" xfId="0" applyNumberFormat="1" applyFont="1" applyFill="1" applyBorder="1" applyAlignment="1">
      <alignment horizontal="left" vertical="center" wrapText="1" indent="2"/>
    </xf>
    <xf numFmtId="0" fontId="3" fillId="4" borderId="0" xfId="0" applyFont="1" applyFill="1" applyBorder="1" applyAlignment="1" applyProtection="1">
      <alignment vertical="center" wrapText="1"/>
    </xf>
    <xf numFmtId="0" fontId="16" fillId="4" borderId="0" xfId="0" applyFont="1" applyFill="1" applyBorder="1" applyAlignment="1" applyProtection="1">
      <alignment vertical="center"/>
    </xf>
    <xf numFmtId="1" fontId="22" fillId="0" borderId="0" xfId="0" applyNumberFormat="1" applyFont="1"/>
    <xf numFmtId="1" fontId="0" fillId="0" borderId="0" xfId="0" applyNumberFormat="1"/>
    <xf numFmtId="1" fontId="3" fillId="4" borderId="0" xfId="0" applyNumberFormat="1" applyFont="1" applyFill="1" applyBorder="1" applyAlignment="1" applyProtection="1">
      <alignment horizontal="center" vertical="center"/>
    </xf>
    <xf numFmtId="44" fontId="20" fillId="4" borderId="0" xfId="0" applyNumberFormat="1" applyFont="1" applyFill="1" applyBorder="1" applyAlignment="1" applyProtection="1">
      <alignment horizontal="right" vertical="center"/>
    </xf>
    <xf numFmtId="0" fontId="16" fillId="4" borderId="0" xfId="0" applyFont="1" applyFill="1" applyBorder="1" applyAlignment="1" applyProtection="1">
      <alignment horizontal="center" vertical="center"/>
    </xf>
    <xf numFmtId="1" fontId="24" fillId="8" borderId="0" xfId="10" applyNumberFormat="1"/>
    <xf numFmtId="0" fontId="15" fillId="4" borderId="0" xfId="0" applyFont="1" applyFill="1" applyBorder="1" applyAlignment="1" applyProtection="1">
      <alignment horizontal="center" vertical="center"/>
    </xf>
    <xf numFmtId="44" fontId="17" fillId="4" borderId="0" xfId="1" applyFont="1" applyFill="1" applyBorder="1" applyAlignment="1" applyProtection="1">
      <alignment horizontal="center" vertical="center"/>
    </xf>
    <xf numFmtId="0" fontId="3" fillId="4" borderId="3" xfId="0" applyFont="1" applyFill="1" applyBorder="1" applyAlignment="1" applyProtection="1">
      <alignment vertical="center"/>
    </xf>
    <xf numFmtId="0" fontId="3" fillId="4" borderId="3" xfId="0" applyFont="1" applyFill="1" applyBorder="1" applyAlignment="1" applyProtection="1">
      <alignment horizontal="center" vertical="center"/>
    </xf>
    <xf numFmtId="10" fontId="4" fillId="4" borderId="3" xfId="5" applyNumberFormat="1" applyFont="1" applyFill="1" applyBorder="1" applyAlignment="1" applyProtection="1">
      <alignment horizontal="center" vertical="center"/>
    </xf>
    <xf numFmtId="0" fontId="3" fillId="4" borderId="3" xfId="0" quotePrefix="1" applyFont="1" applyFill="1" applyBorder="1" applyAlignment="1" applyProtection="1">
      <alignment horizontal="left" vertical="center"/>
    </xf>
    <xf numFmtId="44" fontId="3" fillId="4" borderId="3" xfId="1" applyFont="1" applyFill="1" applyBorder="1" applyAlignment="1" applyProtection="1">
      <alignment vertical="center"/>
    </xf>
    <xf numFmtId="44" fontId="4" fillId="4" borderId="3" xfId="1" applyFont="1" applyFill="1" applyBorder="1" applyAlignment="1" applyProtection="1">
      <alignment horizontal="left" vertical="center"/>
    </xf>
    <xf numFmtId="0" fontId="11" fillId="4" borderId="0" xfId="0" applyFont="1" applyFill="1" applyBorder="1" applyAlignment="1" applyProtection="1">
      <alignment horizontal="right" vertical="center"/>
    </xf>
    <xf numFmtId="0" fontId="4" fillId="4" borderId="0" xfId="0" applyFont="1" applyFill="1" applyBorder="1" applyAlignment="1" applyProtection="1">
      <alignment horizontal="left" vertical="center"/>
    </xf>
    <xf numFmtId="0" fontId="0" fillId="0" borderId="0" xfId="0"/>
    <xf numFmtId="0" fontId="0" fillId="9" borderId="0" xfId="0" applyFill="1"/>
    <xf numFmtId="0" fontId="12" fillId="4" borderId="0" xfId="0" applyFont="1" applyFill="1" applyAlignment="1" applyProtection="1">
      <alignment horizontal="center" vertical="center"/>
    </xf>
    <xf numFmtId="0" fontId="3" fillId="4" borderId="0" xfId="0" applyFont="1" applyFill="1" applyBorder="1" applyAlignment="1" applyProtection="1">
      <alignment horizontal="left" vertical="center"/>
    </xf>
    <xf numFmtId="0" fontId="3" fillId="4" borderId="0" xfId="0" applyFont="1" applyFill="1" applyBorder="1" applyAlignment="1" applyProtection="1">
      <alignment horizontal="center" vertical="center"/>
    </xf>
    <xf numFmtId="0" fontId="4" fillId="7" borderId="3" xfId="0" applyFont="1" applyFill="1" applyBorder="1" applyAlignment="1" applyProtection="1">
      <alignment horizontal="center" vertical="center"/>
      <protection locked="0"/>
    </xf>
    <xf numFmtId="0" fontId="42" fillId="4" borderId="0" xfId="0" applyFont="1" applyFill="1" applyBorder="1" applyAlignment="1" applyProtection="1">
      <alignment vertical="center"/>
    </xf>
    <xf numFmtId="44" fontId="42" fillId="4" borderId="0" xfId="0" applyNumberFormat="1" applyFont="1" applyFill="1" applyBorder="1" applyAlignment="1" applyProtection="1">
      <alignment vertical="center"/>
    </xf>
    <xf numFmtId="0" fontId="2" fillId="0" borderId="8" xfId="0" applyNumberFormat="1" applyFont="1" applyFill="1" applyBorder="1" applyAlignment="1">
      <alignment horizontal="left" vertical="center" wrapText="1" indent="2"/>
    </xf>
    <xf numFmtId="0" fontId="15" fillId="7" borderId="0" xfId="0" applyFont="1" applyFill="1" applyBorder="1" applyAlignment="1" applyProtection="1">
      <alignment horizontal="center" vertical="center"/>
    </xf>
    <xf numFmtId="0" fontId="3" fillId="7" borderId="0" xfId="0" applyFont="1" applyFill="1" applyBorder="1" applyAlignment="1" applyProtection="1">
      <alignment horizontal="left" vertical="center"/>
    </xf>
    <xf numFmtId="0" fontId="4" fillId="4" borderId="0" xfId="3" applyFont="1" applyFill="1" applyBorder="1" applyAlignment="1" applyProtection="1">
      <alignment vertical="center"/>
    </xf>
    <xf numFmtId="0" fontId="0" fillId="0" borderId="0" xfId="0"/>
    <xf numFmtId="165" fontId="26" fillId="7" borderId="3" xfId="1" applyNumberFormat="1" applyFont="1" applyFill="1" applyBorder="1" applyAlignment="1" applyProtection="1">
      <alignment horizontal="right" vertical="center"/>
    </xf>
    <xf numFmtId="49" fontId="6" fillId="4" borderId="0" xfId="3" applyNumberFormat="1" applyFont="1" applyFill="1" applyBorder="1" applyAlignment="1" applyProtection="1">
      <alignment horizontal="center" vertical="center"/>
    </xf>
    <xf numFmtId="0" fontId="4" fillId="4" borderId="0" xfId="3" applyNumberFormat="1" applyFont="1" applyFill="1" applyBorder="1" applyAlignment="1" applyProtection="1">
      <alignment horizontal="left" vertical="center"/>
    </xf>
    <xf numFmtId="0" fontId="4" fillId="4" borderId="0" xfId="0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horizontal="left" vertical="center"/>
    </xf>
    <xf numFmtId="0" fontId="3" fillId="4" borderId="0" xfId="0" applyFont="1" applyFill="1" applyBorder="1" applyAlignment="1" applyProtection="1">
      <alignment horizontal="center" vertical="center"/>
    </xf>
    <xf numFmtId="0" fontId="43" fillId="4" borderId="0" xfId="0" applyFont="1" applyFill="1" applyAlignment="1" applyProtection="1">
      <alignment vertical="center"/>
    </xf>
    <xf numFmtId="0" fontId="43" fillId="4" borderId="0" xfId="0" applyFont="1" applyFill="1" applyBorder="1" applyAlignment="1" applyProtection="1">
      <alignment vertical="center"/>
    </xf>
    <xf numFmtId="0" fontId="44" fillId="0" borderId="0" xfId="0" applyFont="1"/>
    <xf numFmtId="44" fontId="16" fillId="4" borderId="0" xfId="0" applyNumberFormat="1" applyFont="1" applyFill="1" applyBorder="1" applyAlignment="1" applyProtection="1">
      <alignment horizontal="center" vertical="center"/>
    </xf>
    <xf numFmtId="44" fontId="16" fillId="4" borderId="0" xfId="1" applyFont="1" applyFill="1" applyBorder="1" applyAlignment="1" applyProtection="1">
      <alignment vertical="center"/>
    </xf>
    <xf numFmtId="0" fontId="0" fillId="0" borderId="0" xfId="0" applyFill="1"/>
    <xf numFmtId="0" fontId="3" fillId="4" borderId="0" xfId="0" applyFont="1" applyFill="1" applyBorder="1" applyAlignment="1" applyProtection="1">
      <alignment horizontal="left" vertical="center"/>
    </xf>
    <xf numFmtId="0" fontId="3" fillId="4" borderId="0" xfId="0" applyFont="1" applyFill="1" applyBorder="1" applyAlignment="1" applyProtection="1">
      <alignment horizontal="center" vertical="center"/>
    </xf>
    <xf numFmtId="0" fontId="4" fillId="4" borderId="0" xfId="0" applyFont="1" applyFill="1" applyBorder="1" applyAlignment="1" applyProtection="1">
      <alignment horizontal="left" vertical="center"/>
    </xf>
    <xf numFmtId="0" fontId="3" fillId="4" borderId="0" xfId="0" applyFont="1" applyFill="1" applyBorder="1" applyAlignment="1" applyProtection="1">
      <alignment horizontal="left" vertical="center"/>
    </xf>
    <xf numFmtId="0" fontId="3" fillId="4" borderId="0" xfId="0" applyFont="1" applyFill="1" applyBorder="1" applyAlignment="1" applyProtection="1">
      <alignment horizontal="center" vertical="center"/>
    </xf>
    <xf numFmtId="0" fontId="3" fillId="4" borderId="0" xfId="0" applyFont="1" applyFill="1" applyBorder="1" applyAlignment="1" applyProtection="1">
      <alignment horizontal="left" vertical="center"/>
    </xf>
    <xf numFmtId="0" fontId="4" fillId="4" borderId="0" xfId="0" applyFont="1" applyFill="1" applyBorder="1" applyAlignment="1" applyProtection="1">
      <alignment horizontal="left" vertical="center"/>
    </xf>
    <xf numFmtId="0" fontId="3" fillId="4" borderId="0" xfId="0" applyFont="1" applyFill="1" applyBorder="1" applyAlignment="1" applyProtection="1">
      <alignment horizontal="left" vertical="center"/>
    </xf>
    <xf numFmtId="0" fontId="3" fillId="4" borderId="0" xfId="0" applyFont="1" applyFill="1" applyBorder="1" applyAlignment="1" applyProtection="1">
      <alignment horizontal="left" vertical="center"/>
    </xf>
    <xf numFmtId="0" fontId="3" fillId="4" borderId="0" xfId="0" applyFont="1" applyFill="1" applyBorder="1" applyAlignment="1" applyProtection="1">
      <alignment horizontal="center" vertical="center"/>
    </xf>
    <xf numFmtId="0" fontId="16" fillId="4" borderId="0" xfId="3" applyFont="1" applyFill="1" applyBorder="1" applyAlignment="1" applyProtection="1">
      <alignment horizontal="left" vertical="center"/>
    </xf>
    <xf numFmtId="0" fontId="47" fillId="4" borderId="0" xfId="3" applyFont="1" applyFill="1" applyBorder="1" applyAlignment="1" applyProtection="1">
      <alignment vertical="center"/>
    </xf>
    <xf numFmtId="0" fontId="48" fillId="4" borderId="0" xfId="3" applyFont="1" applyFill="1" applyBorder="1" applyAlignment="1" applyProtection="1">
      <alignment horizontal="center" vertical="center"/>
    </xf>
    <xf numFmtId="0" fontId="16" fillId="4" borderId="0" xfId="0" applyFont="1" applyFill="1" applyBorder="1" applyAlignment="1" applyProtection="1">
      <alignment horizontal="left" vertical="center"/>
    </xf>
    <xf numFmtId="0" fontId="16" fillId="4" borderId="0" xfId="0" applyFont="1" applyFill="1" applyAlignment="1" applyProtection="1">
      <alignment vertical="center"/>
    </xf>
    <xf numFmtId="0" fontId="46" fillId="4" borderId="0" xfId="0" applyFont="1" applyFill="1" applyAlignment="1" applyProtection="1">
      <alignment vertical="center"/>
    </xf>
    <xf numFmtId="0" fontId="50" fillId="4" borderId="0" xfId="0" applyFont="1" applyFill="1" applyAlignment="1" applyProtection="1">
      <alignment vertical="center"/>
    </xf>
    <xf numFmtId="0" fontId="49" fillId="4" borderId="0" xfId="3" applyFont="1" applyFill="1" applyBorder="1" applyAlignment="1" applyProtection="1">
      <alignment horizontal="center" vertical="center"/>
    </xf>
    <xf numFmtId="0" fontId="49" fillId="4" borderId="0" xfId="3" applyFont="1" applyFill="1" applyBorder="1" applyAlignment="1" applyProtection="1">
      <alignment vertical="center"/>
    </xf>
    <xf numFmtId="0" fontId="51" fillId="4" borderId="0" xfId="3" applyFont="1" applyFill="1" applyBorder="1" applyAlignment="1" applyProtection="1">
      <alignment vertical="center"/>
    </xf>
    <xf numFmtId="0" fontId="50" fillId="4" borderId="0" xfId="0" applyFont="1" applyFill="1" applyBorder="1" applyAlignment="1" applyProtection="1">
      <alignment vertical="center"/>
    </xf>
    <xf numFmtId="2" fontId="49" fillId="4" borderId="0" xfId="3" applyNumberFormat="1" applyFont="1" applyFill="1" applyBorder="1" applyAlignment="1" applyProtection="1">
      <alignment horizontal="center" vertical="center"/>
    </xf>
    <xf numFmtId="49" fontId="49" fillId="4" borderId="0" xfId="3" applyNumberFormat="1" applyFont="1" applyFill="1" applyBorder="1" applyAlignment="1" applyProtection="1">
      <alignment horizontal="center" vertical="center"/>
    </xf>
    <xf numFmtId="2" fontId="49" fillId="4" borderId="0" xfId="3" applyNumberFormat="1" applyFont="1" applyFill="1" applyBorder="1" applyAlignment="1" applyProtection="1">
      <alignment horizontal="left" vertical="center"/>
    </xf>
    <xf numFmtId="0" fontId="52" fillId="4" borderId="0" xfId="0" applyFont="1" applyFill="1" applyAlignment="1" applyProtection="1">
      <alignment vertical="center"/>
    </xf>
    <xf numFmtId="49" fontId="53" fillId="4" borderId="0" xfId="3" applyNumberFormat="1" applyFont="1" applyFill="1" applyBorder="1" applyAlignment="1" applyProtection="1">
      <alignment horizontal="center" vertical="center"/>
    </xf>
    <xf numFmtId="0" fontId="3" fillId="4" borderId="0" xfId="0" applyFont="1" applyFill="1" applyBorder="1" applyAlignment="1" applyProtection="1">
      <alignment horizontal="left" vertical="center"/>
      <protection locked="0"/>
    </xf>
    <xf numFmtId="0" fontId="3" fillId="4" borderId="0" xfId="0" applyFont="1" applyFill="1" applyBorder="1" applyAlignment="1" applyProtection="1">
      <alignment horizontal="left" vertical="center"/>
    </xf>
    <xf numFmtId="0" fontId="4" fillId="4" borderId="0" xfId="0" applyFont="1" applyFill="1" applyBorder="1" applyAlignment="1" applyProtection="1">
      <alignment horizontal="left" vertical="center"/>
    </xf>
    <xf numFmtId="49" fontId="49" fillId="4" borderId="0" xfId="3" applyNumberFormat="1" applyFont="1" applyFill="1" applyBorder="1" applyAlignment="1" applyProtection="1">
      <alignment horizontal="left" vertical="center"/>
    </xf>
    <xf numFmtId="49" fontId="4" fillId="4" borderId="0" xfId="0" applyNumberFormat="1" applyFont="1" applyFill="1" applyAlignment="1" applyProtection="1">
      <alignment horizontal="center" vertical="center"/>
    </xf>
    <xf numFmtId="49" fontId="2" fillId="0" borderId="0" xfId="0" applyNumberFormat="1" applyFont="1" applyFill="1" applyBorder="1" applyAlignment="1">
      <alignment horizontal="left" vertical="center" wrapText="1" indent="2"/>
    </xf>
    <xf numFmtId="0" fontId="4" fillId="0" borderId="0" xfId="0" applyFont="1" applyFill="1" applyBorder="1" applyAlignment="1" applyProtection="1">
      <alignment horizontal="center" vertical="center"/>
    </xf>
    <xf numFmtId="0" fontId="45" fillId="4" borderId="0" xfId="0" applyFont="1" applyFill="1" applyBorder="1" applyAlignment="1" applyProtection="1">
      <alignment vertical="center"/>
    </xf>
    <xf numFmtId="1" fontId="57" fillId="4" borderId="0" xfId="5" applyNumberFormat="1" applyFont="1" applyFill="1" applyBorder="1" applyAlignment="1" applyProtection="1">
      <alignment horizontal="left" vertical="center"/>
    </xf>
    <xf numFmtId="44" fontId="56" fillId="4" borderId="0" xfId="0" applyNumberFormat="1" applyFont="1" applyFill="1" applyBorder="1" applyAlignment="1" applyProtection="1">
      <alignment vertical="center"/>
    </xf>
    <xf numFmtId="2" fontId="49" fillId="4" borderId="0" xfId="3" applyNumberFormat="1" applyFont="1" applyFill="1" applyBorder="1" applyAlignment="1" applyProtection="1">
      <alignment vertical="center"/>
    </xf>
    <xf numFmtId="0" fontId="59" fillId="4" borderId="0" xfId="0" applyFont="1" applyFill="1" applyAlignment="1" applyProtection="1">
      <alignment horizontal="left" vertical="center"/>
    </xf>
    <xf numFmtId="44" fontId="16" fillId="4" borderId="0" xfId="1" applyNumberFormat="1" applyFont="1" applyFill="1" applyBorder="1" applyAlignment="1" applyProtection="1">
      <alignment horizontal="center" vertical="center"/>
    </xf>
    <xf numFmtId="0" fontId="0" fillId="0" borderId="0" xfId="0"/>
    <xf numFmtId="0" fontId="3" fillId="4" borderId="0" xfId="0" applyFont="1" applyFill="1" applyBorder="1" applyAlignment="1" applyProtection="1">
      <alignment horizontal="right" vertical="center"/>
    </xf>
    <xf numFmtId="0" fontId="63" fillId="4" borderId="0" xfId="0" applyFont="1" applyFill="1" applyBorder="1" applyAlignment="1" applyProtection="1">
      <alignment horizontal="right" vertical="center"/>
    </xf>
    <xf numFmtId="0" fontId="7" fillId="4" borderId="0" xfId="3" applyFont="1" applyFill="1" applyBorder="1" applyAlignment="1" applyProtection="1">
      <alignment vertical="center"/>
    </xf>
    <xf numFmtId="0" fontId="5" fillId="4" borderId="0" xfId="5" applyFont="1" applyFill="1" applyBorder="1" applyAlignment="1" applyProtection="1">
      <alignment horizontal="left" vertical="center"/>
    </xf>
    <xf numFmtId="0" fontId="3" fillId="4" borderId="0" xfId="0" applyFont="1" applyFill="1" applyBorder="1" applyAlignment="1" applyProtection="1">
      <alignment vertical="center"/>
    </xf>
    <xf numFmtId="0" fontId="11" fillId="4" borderId="0" xfId="0" applyFont="1" applyFill="1" applyAlignment="1" applyProtection="1">
      <alignment horizontal="right" vertical="center"/>
    </xf>
    <xf numFmtId="0" fontId="3" fillId="4" borderId="0" xfId="0" applyFont="1" applyFill="1" applyAlignment="1" applyProtection="1">
      <alignment horizontal="right" vertical="center"/>
    </xf>
    <xf numFmtId="10" fontId="3" fillId="4" borderId="0" xfId="2" applyNumberFormat="1" applyFont="1" applyFill="1" applyBorder="1" applyAlignment="1" applyProtection="1">
      <alignment vertical="center"/>
    </xf>
    <xf numFmtId="0" fontId="15" fillId="4" borderId="0" xfId="0" applyFont="1" applyFill="1" applyBorder="1" applyAlignment="1" applyProtection="1">
      <alignment vertical="center"/>
    </xf>
    <xf numFmtId="0" fontId="3" fillId="4" borderId="0" xfId="0" applyFont="1" applyFill="1" applyAlignment="1" applyProtection="1">
      <alignment vertical="center"/>
    </xf>
    <xf numFmtId="0" fontId="3" fillId="4" borderId="0" xfId="0" applyFont="1" applyFill="1" applyAlignment="1" applyProtection="1">
      <alignment horizontal="center" vertical="center"/>
    </xf>
    <xf numFmtId="0" fontId="5" fillId="4" borderId="0" xfId="5" applyFont="1" applyFill="1" applyBorder="1" applyAlignment="1" applyProtection="1">
      <alignment horizontal="center" vertical="center"/>
    </xf>
    <xf numFmtId="0" fontId="5" fillId="4" borderId="0" xfId="0" applyFont="1" applyFill="1" applyBorder="1" applyAlignment="1" applyProtection="1">
      <alignment horizontal="right" vertical="center"/>
    </xf>
    <xf numFmtId="0" fontId="4" fillId="4" borderId="0" xfId="0" applyFont="1" applyFill="1" applyBorder="1" applyAlignment="1" applyProtection="1">
      <alignment vertical="center"/>
    </xf>
    <xf numFmtId="0" fontId="4" fillId="4" borderId="0" xfId="0" applyFont="1" applyFill="1" applyBorder="1" applyAlignment="1" applyProtection="1">
      <alignment horizontal="center" vertical="center"/>
    </xf>
    <xf numFmtId="0" fontId="4" fillId="4" borderId="0" xfId="0" applyFont="1" applyFill="1" applyAlignment="1" applyProtection="1">
      <alignment vertical="center"/>
    </xf>
    <xf numFmtId="0" fontId="3" fillId="4" borderId="0" xfId="0" applyFont="1" applyFill="1" applyBorder="1" applyAlignment="1" applyProtection="1">
      <alignment horizontal="center" vertical="center"/>
    </xf>
    <xf numFmtId="0" fontId="16" fillId="4" borderId="0" xfId="0" applyFont="1" applyFill="1" applyBorder="1" applyAlignment="1" applyProtection="1">
      <alignment vertical="center"/>
    </xf>
    <xf numFmtId="0" fontId="11" fillId="4" borderId="0" xfId="0" applyFont="1" applyFill="1" applyBorder="1" applyAlignment="1" applyProtection="1">
      <alignment horizontal="right" vertical="center"/>
    </xf>
    <xf numFmtId="0" fontId="15" fillId="4" borderId="0" xfId="0" applyFont="1" applyFill="1" applyAlignment="1" applyProtection="1">
      <alignment horizontal="center" vertical="center"/>
    </xf>
    <xf numFmtId="0" fontId="16" fillId="4" borderId="0" xfId="0" applyFont="1" applyFill="1" applyBorder="1" applyAlignment="1" applyProtection="1">
      <alignment horizontal="left" vertical="center"/>
    </xf>
    <xf numFmtId="0" fontId="16" fillId="4" borderId="0" xfId="0" applyFont="1" applyFill="1" applyAlignment="1" applyProtection="1">
      <alignment vertical="center"/>
    </xf>
    <xf numFmtId="49" fontId="49" fillId="4" borderId="0" xfId="3" applyNumberFormat="1" applyFont="1" applyFill="1" applyBorder="1" applyAlignment="1" applyProtection="1">
      <alignment horizontal="center" vertical="center"/>
    </xf>
    <xf numFmtId="0" fontId="49" fillId="4" borderId="0" xfId="3" applyFont="1" applyFill="1" applyBorder="1" applyAlignment="1" applyProtection="1">
      <alignment horizontal="right" vertical="center"/>
    </xf>
    <xf numFmtId="0" fontId="11" fillId="0" borderId="0" xfId="0" applyFont="1" applyFill="1" applyBorder="1" applyAlignment="1" applyProtection="1">
      <alignment horizontal="right" vertical="center"/>
    </xf>
    <xf numFmtId="0" fontId="57" fillId="4" borderId="0" xfId="0" applyFont="1" applyFill="1" applyAlignment="1" applyProtection="1">
      <alignment horizontal="right" vertical="center"/>
    </xf>
    <xf numFmtId="0" fontId="58" fillId="4" borderId="0" xfId="0" applyFont="1" applyFill="1" applyAlignment="1" applyProtection="1">
      <alignment vertical="center"/>
    </xf>
    <xf numFmtId="0" fontId="62" fillId="4" borderId="0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center" vertical="center"/>
    </xf>
    <xf numFmtId="0" fontId="3" fillId="4" borderId="0" xfId="0" applyFont="1" applyFill="1" applyBorder="1" applyAlignment="1" applyProtection="1">
      <alignment horizontal="left" vertical="center"/>
    </xf>
    <xf numFmtId="0" fontId="12" fillId="4" borderId="0" xfId="0" applyFont="1" applyFill="1" applyAlignment="1" applyProtection="1">
      <alignment horizontal="center" vertical="center"/>
    </xf>
    <xf numFmtId="0" fontId="3" fillId="4" borderId="0" xfId="0" applyFont="1" applyFill="1" applyBorder="1" applyAlignment="1" applyProtection="1">
      <alignment horizontal="left" vertical="center"/>
    </xf>
    <xf numFmtId="0" fontId="3" fillId="4" borderId="0" xfId="0" applyFont="1" applyFill="1" applyBorder="1" applyAlignment="1" applyProtection="1">
      <alignment horizontal="center" vertical="center"/>
    </xf>
    <xf numFmtId="0" fontId="3" fillId="4" borderId="0" xfId="0" applyFont="1" applyFill="1" applyBorder="1" applyAlignment="1" applyProtection="1">
      <alignment horizontal="center" vertical="center"/>
    </xf>
    <xf numFmtId="0" fontId="3" fillId="4" borderId="0" xfId="0" applyFont="1" applyFill="1" applyBorder="1" applyAlignment="1" applyProtection="1">
      <alignment horizontal="left" vertical="center"/>
    </xf>
    <xf numFmtId="0" fontId="3" fillId="4" borderId="0" xfId="0" applyFont="1" applyFill="1" applyBorder="1" applyAlignment="1" applyProtection="1">
      <alignment horizontal="left" vertical="center"/>
    </xf>
    <xf numFmtId="0" fontId="3" fillId="4" borderId="0" xfId="0" applyFont="1" applyFill="1" applyBorder="1" applyAlignment="1" applyProtection="1">
      <alignment horizontal="center" vertical="center"/>
    </xf>
    <xf numFmtId="10" fontId="43" fillId="4" borderId="0" xfId="2" applyNumberFormat="1" applyFont="1" applyFill="1" applyBorder="1" applyAlignment="1" applyProtection="1">
      <alignment vertical="center"/>
    </xf>
    <xf numFmtId="0" fontId="5" fillId="4" borderId="0" xfId="0" applyFont="1" applyFill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center" vertical="center"/>
    </xf>
    <xf numFmtId="0" fontId="3" fillId="4" borderId="0" xfId="0" applyFont="1" applyFill="1" applyBorder="1" applyAlignment="1" applyProtection="1">
      <alignment horizontal="left" vertical="center"/>
    </xf>
    <xf numFmtId="0" fontId="3" fillId="4" borderId="0" xfId="0" applyFont="1" applyFill="1" applyBorder="1" applyAlignment="1" applyProtection="1">
      <alignment horizontal="center" vertical="center"/>
    </xf>
    <xf numFmtId="0" fontId="3" fillId="4" borderId="0" xfId="0" applyFont="1" applyFill="1" applyBorder="1" applyAlignment="1" applyProtection="1">
      <alignment horizontal="left" vertical="center"/>
    </xf>
    <xf numFmtId="0" fontId="5" fillId="4" borderId="0" xfId="0" applyFont="1" applyFill="1" applyBorder="1" applyAlignment="1" applyProtection="1">
      <alignment horizontal="center" vertical="center"/>
    </xf>
    <xf numFmtId="0" fontId="12" fillId="4" borderId="0" xfId="0" applyFont="1" applyFill="1" applyAlignment="1" applyProtection="1">
      <alignment horizontal="center" vertical="center"/>
    </xf>
    <xf numFmtId="0" fontId="3" fillId="4" borderId="0" xfId="0" applyFont="1" applyFill="1" applyBorder="1" applyAlignment="1" applyProtection="1">
      <alignment horizontal="left" vertical="center"/>
    </xf>
    <xf numFmtId="0" fontId="3" fillId="4" borderId="0" xfId="0" applyFont="1" applyFill="1" applyBorder="1" applyAlignment="1" applyProtection="1">
      <alignment horizontal="center" vertical="center"/>
    </xf>
    <xf numFmtId="0" fontId="3" fillId="4" borderId="0" xfId="0" applyFont="1" applyFill="1" applyBorder="1" applyAlignment="1" applyProtection="1">
      <alignment horizontal="center" vertical="center"/>
    </xf>
    <xf numFmtId="0" fontId="3" fillId="4" borderId="0" xfId="0" applyFont="1" applyFill="1" applyBorder="1" applyAlignment="1" applyProtection="1">
      <alignment horizontal="left" vertical="center"/>
    </xf>
    <xf numFmtId="0" fontId="3" fillId="4" borderId="0" xfId="0" applyFont="1" applyFill="1" applyBorder="1" applyAlignment="1" applyProtection="1">
      <alignment horizontal="left" vertical="center"/>
    </xf>
    <xf numFmtId="0" fontId="3" fillId="4" borderId="0" xfId="0" applyFont="1" applyFill="1" applyBorder="1" applyAlignment="1" applyProtection="1">
      <alignment horizontal="center" vertical="center"/>
    </xf>
    <xf numFmtId="0" fontId="3" fillId="4" borderId="0" xfId="0" applyFont="1" applyFill="1" applyBorder="1" applyAlignment="1" applyProtection="1">
      <alignment horizontal="left" vertical="center"/>
    </xf>
    <xf numFmtId="0" fontId="3" fillId="4" borderId="0" xfId="0" applyFont="1" applyFill="1" applyBorder="1" applyAlignment="1" applyProtection="1">
      <alignment horizontal="center" vertical="center"/>
    </xf>
    <xf numFmtId="0" fontId="3" fillId="4" borderId="0" xfId="0" applyFont="1" applyFill="1" applyBorder="1" applyAlignment="1" applyProtection="1">
      <alignment horizontal="left" vertical="center"/>
    </xf>
    <xf numFmtId="0" fontId="3" fillId="4" borderId="0" xfId="0" applyFont="1" applyFill="1" applyBorder="1" applyAlignment="1" applyProtection="1">
      <alignment horizontal="left" vertical="center"/>
    </xf>
    <xf numFmtId="0" fontId="3" fillId="4" borderId="0" xfId="0" applyFont="1" applyFill="1" applyBorder="1" applyAlignment="1" applyProtection="1">
      <alignment horizontal="center" vertical="center"/>
    </xf>
    <xf numFmtId="0" fontId="3" fillId="4" borderId="0" xfId="0" quotePrefix="1" applyFont="1" applyFill="1" applyBorder="1" applyAlignment="1" applyProtection="1">
      <alignment horizontal="left" vertical="center"/>
    </xf>
    <xf numFmtId="44" fontId="4" fillId="4" borderId="0" xfId="1" applyFont="1" applyFill="1" applyBorder="1" applyAlignment="1" applyProtection="1">
      <alignment horizontal="left" vertical="center"/>
    </xf>
    <xf numFmtId="10" fontId="4" fillId="4" borderId="0" xfId="5" applyNumberFormat="1" applyFont="1" applyFill="1" applyBorder="1" applyAlignment="1" applyProtection="1">
      <alignment horizontal="center" vertical="center"/>
    </xf>
    <xf numFmtId="0" fontId="3" fillId="4" borderId="0" xfId="0" applyFont="1" applyFill="1" applyBorder="1" applyAlignment="1" applyProtection="1">
      <alignment horizontal="center" vertical="center"/>
    </xf>
    <xf numFmtId="0" fontId="3" fillId="4" borderId="0" xfId="0" applyFont="1" applyFill="1" applyBorder="1" applyAlignment="1" applyProtection="1">
      <alignment horizontal="left" vertical="center"/>
    </xf>
    <xf numFmtId="0" fontId="3" fillId="4" borderId="0" xfId="0" applyFont="1" applyFill="1" applyBorder="1" applyAlignment="1" applyProtection="1">
      <alignment horizontal="center" vertical="center"/>
    </xf>
    <xf numFmtId="10" fontId="16" fillId="4" borderId="0" xfId="2" applyNumberFormat="1" applyFont="1" applyFill="1" applyBorder="1" applyAlignment="1" applyProtection="1">
      <alignment vertical="center"/>
    </xf>
    <xf numFmtId="9" fontId="16" fillId="4" borderId="0" xfId="2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horizontal="center" vertical="center"/>
    </xf>
    <xf numFmtId="14" fontId="3" fillId="4" borderId="0" xfId="0" applyNumberFormat="1" applyFont="1" applyFill="1" applyBorder="1" applyAlignment="1" applyProtection="1">
      <alignment horizontal="left" vertical="center"/>
    </xf>
    <xf numFmtId="0" fontId="68" fillId="0" borderId="0" xfId="0" applyFont="1" applyProtection="1"/>
    <xf numFmtId="0" fontId="68" fillId="0" borderId="1" xfId="0" applyFont="1" applyBorder="1" applyAlignment="1" applyProtection="1">
      <alignment vertical="center"/>
    </xf>
    <xf numFmtId="2" fontId="70" fillId="0" borderId="1" xfId="0" applyNumberFormat="1" applyFont="1" applyBorder="1" applyAlignment="1" applyProtection="1">
      <alignment vertical="center"/>
    </xf>
    <xf numFmtId="0" fontId="71" fillId="0" borderId="1" xfId="0" applyFont="1" applyFill="1" applyBorder="1" applyAlignment="1" applyProtection="1">
      <alignment horizontal="right" vertical="top" wrapText="1" indent="2"/>
    </xf>
    <xf numFmtId="0" fontId="68" fillId="0" borderId="0" xfId="0" applyFont="1" applyAlignment="1" applyProtection="1">
      <alignment horizontal="center"/>
    </xf>
    <xf numFmtId="44" fontId="71" fillId="0" borderId="0" xfId="1" applyFont="1" applyFill="1" applyBorder="1" applyAlignment="1" applyProtection="1">
      <alignment horizontal="right" vertical="top" wrapText="1" indent="2"/>
    </xf>
    <xf numFmtId="9" fontId="71" fillId="0" borderId="0" xfId="2" applyFont="1" applyFill="1" applyBorder="1" applyAlignment="1" applyProtection="1">
      <alignment horizontal="center" vertical="top" wrapText="1"/>
    </xf>
    <xf numFmtId="0" fontId="71" fillId="0" borderId="0" xfId="0" applyFont="1" applyFill="1" applyBorder="1" applyAlignment="1" applyProtection="1">
      <alignment horizontal="right" vertical="top" wrapText="1" indent="2"/>
    </xf>
    <xf numFmtId="49" fontId="68" fillId="0" borderId="1" xfId="0" applyNumberFormat="1" applyFont="1" applyBorder="1" applyAlignment="1" applyProtection="1">
      <alignment horizontal="right" vertical="center"/>
    </xf>
    <xf numFmtId="49" fontId="72" fillId="0" borderId="1" xfId="0" applyNumberFormat="1" applyFont="1" applyBorder="1" applyAlignment="1" applyProtection="1">
      <alignment horizontal="left" vertical="center" wrapText="1" indent="1"/>
    </xf>
    <xf numFmtId="0" fontId="68" fillId="0" borderId="1" xfId="0" applyFont="1" applyBorder="1" applyProtection="1"/>
    <xf numFmtId="44" fontId="68" fillId="0" borderId="0" xfId="1" applyFont="1" applyBorder="1" applyProtection="1"/>
    <xf numFmtId="9" fontId="68" fillId="0" borderId="0" xfId="2" applyFont="1" applyBorder="1" applyAlignment="1" applyProtection="1">
      <alignment horizontal="center"/>
    </xf>
    <xf numFmtId="0" fontId="68" fillId="0" borderId="0" xfId="0" applyFont="1" applyBorder="1" applyProtection="1"/>
    <xf numFmtId="0" fontId="73" fillId="0" borderId="0" xfId="0" applyFont="1" applyAlignment="1" applyProtection="1">
      <alignment horizontal="center" vertical="center"/>
    </xf>
    <xf numFmtId="0" fontId="74" fillId="0" borderId="0" xfId="0" applyFont="1" applyFill="1" applyBorder="1" applyAlignment="1" applyProtection="1">
      <alignment horizontal="left" vertical="center"/>
    </xf>
    <xf numFmtId="0" fontId="74" fillId="0" borderId="0" xfId="0" applyFont="1" applyFill="1" applyBorder="1" applyAlignment="1" applyProtection="1">
      <alignment horizontal="center" vertical="center"/>
    </xf>
    <xf numFmtId="44" fontId="73" fillId="0" borderId="3" xfId="1" applyFont="1" applyBorder="1" applyAlignment="1" applyProtection="1">
      <alignment horizontal="left" vertical="center" wrapText="1" indent="1"/>
    </xf>
    <xf numFmtId="9" fontId="74" fillId="0" borderId="0" xfId="2" applyFont="1" applyAlignment="1" applyProtection="1">
      <alignment horizontal="center" vertical="center"/>
    </xf>
    <xf numFmtId="49" fontId="73" fillId="0" borderId="2" xfId="0" applyNumberFormat="1" applyFont="1" applyFill="1" applyBorder="1" applyAlignment="1" applyProtection="1">
      <alignment horizontal="left" vertical="center" indent="1"/>
    </xf>
    <xf numFmtId="0" fontId="74" fillId="0" borderId="3" xfId="0" applyFont="1" applyFill="1" applyBorder="1" applyAlignment="1" applyProtection="1">
      <alignment horizontal="left" vertical="center" wrapText="1"/>
    </xf>
    <xf numFmtId="0" fontId="73" fillId="0" borderId="5" xfId="0" applyFont="1" applyBorder="1" applyAlignment="1" applyProtection="1">
      <alignment horizontal="center" vertical="center" wrapText="1"/>
    </xf>
    <xf numFmtId="9" fontId="73" fillId="0" borderId="0" xfId="2" applyFont="1" applyFill="1" applyBorder="1" applyAlignment="1" applyProtection="1">
      <alignment horizontal="center" vertical="center" wrapText="1"/>
    </xf>
    <xf numFmtId="0" fontId="73" fillId="0" borderId="0" xfId="0" applyFont="1" applyFill="1" applyBorder="1" applyAlignment="1" applyProtection="1">
      <alignment horizontal="left" vertical="center" wrapText="1" indent="1"/>
    </xf>
    <xf numFmtId="0" fontId="75" fillId="0" borderId="0" xfId="0" applyFont="1" applyProtection="1"/>
    <xf numFmtId="0" fontId="73" fillId="0" borderId="0" xfId="0" applyFont="1" applyProtection="1"/>
    <xf numFmtId="49" fontId="73" fillId="0" borderId="4" xfId="0" applyNumberFormat="1" applyFont="1" applyFill="1" applyBorder="1" applyAlignment="1" applyProtection="1">
      <alignment horizontal="left" vertical="center" indent="1"/>
    </xf>
    <xf numFmtId="0" fontId="73" fillId="0" borderId="3" xfId="0" applyFont="1" applyBorder="1" applyAlignment="1" applyProtection="1">
      <alignment horizontal="left" vertical="center" wrapText="1" indent="1"/>
    </xf>
    <xf numFmtId="9" fontId="73" fillId="0" borderId="0" xfId="2" applyFont="1" applyBorder="1" applyAlignment="1" applyProtection="1">
      <alignment horizontal="center" vertical="center" wrapText="1"/>
    </xf>
    <xf numFmtId="44" fontId="73" fillId="0" borderId="0" xfId="1" applyFont="1" applyBorder="1" applyAlignment="1" applyProtection="1">
      <alignment horizontal="left" vertical="center" wrapText="1" indent="1"/>
    </xf>
    <xf numFmtId="44" fontId="73" fillId="0" borderId="0" xfId="0" applyNumberFormat="1" applyFont="1" applyProtection="1"/>
    <xf numFmtId="49" fontId="73" fillId="0" borderId="4" xfId="0" applyNumberFormat="1" applyFont="1" applyBorder="1" applyAlignment="1" applyProtection="1">
      <alignment horizontal="left" vertical="center" indent="1"/>
    </xf>
    <xf numFmtId="0" fontId="73" fillId="0" borderId="3" xfId="0" applyFont="1" applyBorder="1" applyAlignment="1" applyProtection="1">
      <alignment horizontal="center" vertical="center" wrapText="1"/>
    </xf>
    <xf numFmtId="0" fontId="73" fillId="0" borderId="4" xfId="0" applyNumberFormat="1" applyFont="1" applyFill="1" applyBorder="1" applyAlignment="1" applyProtection="1">
      <alignment horizontal="left" vertical="center" indent="1"/>
    </xf>
    <xf numFmtId="0" fontId="73" fillId="0" borderId="3" xfId="0" applyFont="1" applyFill="1" applyBorder="1" applyAlignment="1" applyProtection="1">
      <alignment horizontal="center" vertical="center" wrapText="1"/>
    </xf>
    <xf numFmtId="0" fontId="73" fillId="0" borderId="3" xfId="0" applyFont="1" applyFill="1" applyBorder="1" applyAlignment="1" applyProtection="1">
      <alignment horizontal="left" vertical="center" wrapText="1" indent="1"/>
    </xf>
    <xf numFmtId="44" fontId="73" fillId="0" borderId="0" xfId="1" applyFont="1" applyFill="1" applyBorder="1" applyAlignment="1" applyProtection="1">
      <alignment horizontal="left" vertical="center" wrapText="1" indent="1"/>
    </xf>
    <xf numFmtId="49" fontId="74" fillId="6" borderId="2" xfId="0" applyNumberFormat="1" applyFont="1" applyFill="1" applyBorder="1" applyAlignment="1" applyProtection="1">
      <alignment horizontal="left" vertical="center"/>
    </xf>
    <xf numFmtId="49" fontId="74" fillId="6" borderId="6" xfId="0" applyNumberFormat="1" applyFont="1" applyFill="1" applyBorder="1" applyAlignment="1" applyProtection="1">
      <alignment horizontal="left" vertical="center"/>
    </xf>
    <xf numFmtId="49" fontId="74" fillId="6" borderId="6" xfId="0" applyNumberFormat="1" applyFont="1" applyFill="1" applyBorder="1" applyAlignment="1" applyProtection="1">
      <alignment horizontal="center" vertical="center"/>
    </xf>
    <xf numFmtId="44" fontId="73" fillId="0" borderId="3" xfId="1" applyFont="1" applyBorder="1" applyAlignment="1" applyProtection="1">
      <alignment horizontal="center" vertical="center" wrapText="1"/>
    </xf>
    <xf numFmtId="0" fontId="74" fillId="0" borderId="3" xfId="0" applyFont="1" applyBorder="1" applyAlignment="1" applyProtection="1">
      <alignment horizontal="left" vertical="center" wrapText="1"/>
    </xf>
    <xf numFmtId="44" fontId="73" fillId="0" borderId="3" xfId="1" applyFont="1" applyFill="1" applyBorder="1" applyAlignment="1" applyProtection="1">
      <alignment horizontal="left" vertical="center" wrapText="1" indent="1"/>
    </xf>
    <xf numFmtId="0" fontId="74" fillId="0" borderId="0" xfId="0" applyFont="1" applyBorder="1" applyAlignment="1" applyProtection="1">
      <alignment horizontal="left" vertical="center" wrapText="1" indent="1"/>
    </xf>
    <xf numFmtId="0" fontId="73" fillId="0" borderId="0" xfId="0" applyFont="1" applyBorder="1" applyAlignment="1" applyProtection="1">
      <alignment horizontal="center" vertical="center" wrapText="1"/>
    </xf>
    <xf numFmtId="0" fontId="73" fillId="0" borderId="0" xfId="0" applyFont="1" applyBorder="1" applyAlignment="1" applyProtection="1">
      <alignment horizontal="left" vertical="center" wrapText="1" indent="1"/>
    </xf>
    <xf numFmtId="2" fontId="73" fillId="0" borderId="0" xfId="0" applyNumberFormat="1" applyFont="1" applyBorder="1" applyAlignment="1" applyProtection="1">
      <alignment horizontal="left" vertical="center" wrapText="1" indent="1"/>
    </xf>
    <xf numFmtId="2" fontId="73" fillId="0" borderId="0" xfId="1" applyNumberFormat="1" applyFont="1" applyBorder="1" applyAlignment="1" applyProtection="1">
      <alignment horizontal="left" vertical="center" wrapText="1" indent="1"/>
    </xf>
    <xf numFmtId="49" fontId="73" fillId="0" borderId="0" xfId="0" applyNumberFormat="1" applyFont="1" applyFill="1" applyBorder="1" applyAlignment="1" applyProtection="1">
      <alignment horizontal="left" vertical="center" indent="1"/>
    </xf>
    <xf numFmtId="49" fontId="68" fillId="0" borderId="0" xfId="0" applyNumberFormat="1" applyFont="1" applyProtection="1"/>
    <xf numFmtId="44" fontId="68" fillId="0" borderId="0" xfId="1" applyFont="1" applyAlignment="1" applyProtection="1">
      <alignment horizontal="center"/>
    </xf>
    <xf numFmtId="9" fontId="68" fillId="0" borderId="0" xfId="2" applyFont="1" applyAlignment="1" applyProtection="1">
      <alignment horizontal="center"/>
    </xf>
    <xf numFmtId="44" fontId="74" fillId="0" borderId="0" xfId="1" applyFont="1" applyAlignment="1" applyProtection="1">
      <alignment horizontal="center" vertical="center"/>
    </xf>
    <xf numFmtId="0" fontId="73" fillId="0" borderId="5" xfId="0" applyFont="1" applyBorder="1" applyAlignment="1" applyProtection="1">
      <alignment horizontal="left" vertical="center" wrapText="1" indent="1"/>
    </xf>
    <xf numFmtId="49" fontId="73" fillId="0" borderId="4" xfId="0" applyNumberFormat="1" applyFont="1" applyFill="1" applyBorder="1" applyAlignment="1">
      <alignment horizontal="left" vertical="center" indent="1"/>
    </xf>
    <xf numFmtId="0" fontId="68" fillId="0" borderId="0" xfId="0" applyFont="1" applyFill="1" applyProtection="1"/>
    <xf numFmtId="44" fontId="74" fillId="0" borderId="0" xfId="1" applyFont="1" applyFill="1" applyBorder="1" applyAlignment="1" applyProtection="1">
      <alignment horizontal="left" vertical="center"/>
    </xf>
    <xf numFmtId="9" fontId="74" fillId="0" borderId="0" xfId="2" applyFont="1" applyFill="1" applyBorder="1" applyAlignment="1" applyProtection="1">
      <alignment horizontal="center" vertical="center"/>
    </xf>
    <xf numFmtId="0" fontId="73" fillId="0" borderId="0" xfId="0" applyFont="1" applyFill="1" applyProtection="1"/>
    <xf numFmtId="0" fontId="73" fillId="0" borderId="6" xfId="0" applyFont="1" applyFill="1" applyBorder="1" applyAlignment="1" applyProtection="1">
      <alignment horizontal="left" vertical="center" wrapText="1" indent="1"/>
    </xf>
    <xf numFmtId="49" fontId="74" fillId="0" borderId="2" xfId="0" applyNumberFormat="1" applyFont="1" applyFill="1" applyBorder="1" applyAlignment="1" applyProtection="1">
      <alignment horizontal="left" vertical="center"/>
    </xf>
    <xf numFmtId="49" fontId="74" fillId="0" borderId="6" xfId="0" applyNumberFormat="1" applyFont="1" applyFill="1" applyBorder="1" applyAlignment="1" applyProtection="1">
      <alignment horizontal="left" vertical="center"/>
    </xf>
    <xf numFmtId="0" fontId="73" fillId="0" borderId="5" xfId="0" applyFont="1" applyFill="1" applyBorder="1" applyAlignment="1">
      <alignment horizontal="center" vertical="center" wrapText="1"/>
    </xf>
    <xf numFmtId="0" fontId="73" fillId="0" borderId="3" xfId="0" applyFont="1" applyFill="1" applyBorder="1" applyAlignment="1">
      <alignment horizontal="center" vertical="center" wrapText="1"/>
    </xf>
    <xf numFmtId="49" fontId="73" fillId="0" borderId="0" xfId="0" applyNumberFormat="1" applyFont="1" applyFill="1" applyBorder="1" applyAlignment="1">
      <alignment horizontal="left" vertical="center" indent="1"/>
    </xf>
    <xf numFmtId="0" fontId="73" fillId="0" borderId="0" xfId="0" applyFont="1" applyFill="1" applyBorder="1" applyAlignment="1">
      <alignment horizontal="center" vertical="center" wrapText="1"/>
    </xf>
    <xf numFmtId="0" fontId="67" fillId="0" borderId="1" xfId="0" applyFont="1" applyFill="1" applyBorder="1" applyAlignment="1" applyProtection="1">
      <alignment horizontal="left" vertical="center"/>
    </xf>
    <xf numFmtId="0" fontId="67" fillId="0" borderId="1" xfId="0" applyFont="1" applyFill="1" applyBorder="1" applyAlignment="1" applyProtection="1">
      <alignment horizontal="left"/>
    </xf>
    <xf numFmtId="0" fontId="71" fillId="0" borderId="1" xfId="0" applyFont="1" applyFill="1" applyBorder="1" applyAlignment="1" applyProtection="1">
      <alignment horizontal="right" vertical="top" indent="2"/>
    </xf>
    <xf numFmtId="49" fontId="73" fillId="0" borderId="36" xfId="0" applyNumberFormat="1" applyFont="1" applyBorder="1" applyAlignment="1">
      <alignment horizontal="left" vertical="center" indent="1"/>
    </xf>
    <xf numFmtId="0" fontId="73" fillId="0" borderId="37" xfId="0" applyFont="1" applyBorder="1" applyAlignment="1">
      <alignment horizontal="left" vertical="center" wrapText="1" indent="1"/>
    </xf>
    <xf numFmtId="49" fontId="73" fillId="0" borderId="4" xfId="0" applyNumberFormat="1" applyFont="1" applyBorder="1" applyAlignment="1">
      <alignment horizontal="left" vertical="center" indent="1"/>
    </xf>
    <xf numFmtId="0" fontId="73" fillId="0" borderId="3" xfId="0" applyFont="1" applyBorder="1" applyAlignment="1">
      <alignment horizontal="left" vertical="center" wrapText="1" indent="1"/>
    </xf>
    <xf numFmtId="44" fontId="73" fillId="4" borderId="3" xfId="1" applyFont="1" applyFill="1" applyBorder="1" applyAlignment="1" applyProtection="1">
      <alignment horizontal="left" vertical="center" wrapText="1" indent="1"/>
    </xf>
    <xf numFmtId="49" fontId="73" fillId="0" borderId="4" xfId="0" applyNumberFormat="1" applyFont="1" applyBorder="1" applyAlignment="1">
      <alignment horizontal="left" vertical="center" indent="2"/>
    </xf>
    <xf numFmtId="44" fontId="73" fillId="0" borderId="0" xfId="1" applyFont="1" applyFill="1" applyProtection="1"/>
    <xf numFmtId="0" fontId="73" fillId="0" borderId="3" xfId="0" quotePrefix="1" applyFont="1" applyBorder="1" applyAlignment="1">
      <alignment horizontal="left" vertical="center" wrapText="1" indent="1"/>
    </xf>
    <xf numFmtId="49" fontId="73" fillId="0" borderId="2" xfId="0" applyNumberFormat="1" applyFont="1" applyBorder="1" applyAlignment="1">
      <alignment horizontal="left" vertical="center" indent="2"/>
    </xf>
    <xf numFmtId="0" fontId="73" fillId="0" borderId="4" xfId="0" applyNumberFormat="1" applyFont="1" applyBorder="1" applyAlignment="1">
      <alignment horizontal="left" vertical="center" indent="1"/>
    </xf>
    <xf numFmtId="0" fontId="73" fillId="0" borderId="4" xfId="0" applyFont="1" applyBorder="1" applyAlignment="1">
      <alignment horizontal="left" vertical="center" wrapText="1" indent="1"/>
    </xf>
    <xf numFmtId="0" fontId="73" fillId="0" borderId="3" xfId="0" applyFont="1" applyFill="1" applyBorder="1" applyAlignment="1" applyProtection="1">
      <alignment horizontal="left" vertical="center" wrapText="1"/>
    </xf>
    <xf numFmtId="0" fontId="74" fillId="0" borderId="3" xfId="0" quotePrefix="1" applyFont="1" applyFill="1" applyBorder="1" applyAlignment="1" applyProtection="1">
      <alignment horizontal="left" vertical="center" wrapText="1"/>
    </xf>
    <xf numFmtId="49" fontId="73" fillId="0" borderId="4" xfId="0" applyNumberFormat="1" applyFont="1" applyBorder="1" applyAlignment="1">
      <alignment horizontal="left" vertical="center"/>
    </xf>
    <xf numFmtId="0" fontId="73" fillId="0" borderId="4" xfId="0" applyNumberFormat="1" applyFont="1" applyFill="1" applyBorder="1" applyAlignment="1">
      <alignment horizontal="left" vertical="center" indent="1"/>
    </xf>
    <xf numFmtId="0" fontId="73" fillId="0" borderId="4" xfId="0" applyNumberFormat="1" applyFont="1" applyBorder="1" applyAlignment="1">
      <alignment horizontal="left" vertical="center" indent="3"/>
    </xf>
    <xf numFmtId="0" fontId="73" fillId="0" borderId="3" xfId="0" applyFont="1" applyBorder="1" applyAlignment="1">
      <alignment horizontal="left" vertical="center" wrapText="1" indent="3"/>
    </xf>
    <xf numFmtId="0" fontId="73" fillId="0" borderId="3" xfId="0" applyFont="1" applyBorder="1" applyAlignment="1" applyProtection="1">
      <alignment horizontal="left" vertical="center" wrapText="1" indent="2"/>
    </xf>
    <xf numFmtId="44" fontId="73" fillId="0" borderId="29" xfId="1" applyFont="1" applyBorder="1" applyAlignment="1" applyProtection="1">
      <alignment horizontal="left" vertical="center" wrapText="1" indent="1"/>
    </xf>
    <xf numFmtId="0" fontId="73" fillId="0" borderId="19" xfId="0" applyFont="1" applyBorder="1" applyAlignment="1">
      <alignment horizontal="left" vertical="center" wrapText="1" indent="1"/>
    </xf>
    <xf numFmtId="49" fontId="73" fillId="0" borderId="3" xfId="0" applyNumberFormat="1" applyFont="1" applyFill="1" applyBorder="1" applyAlignment="1" applyProtection="1">
      <alignment horizontal="left" vertical="center" wrapText="1" indent="1"/>
    </xf>
    <xf numFmtId="0" fontId="74" fillId="0" borderId="3" xfId="0" quotePrefix="1" applyFont="1" applyBorder="1" applyAlignment="1" applyProtection="1">
      <alignment horizontal="left" vertical="center" wrapText="1"/>
    </xf>
    <xf numFmtId="0" fontId="73" fillId="0" borderId="4" xfId="0" applyFont="1" applyBorder="1" applyAlignment="1">
      <alignment horizontal="left" vertical="center" wrapText="1"/>
    </xf>
    <xf numFmtId="0" fontId="74" fillId="0" borderId="3" xfId="0" applyFont="1" applyBorder="1" applyAlignment="1">
      <alignment horizontal="left" vertical="center" wrapText="1" indent="1"/>
    </xf>
    <xf numFmtId="0" fontId="73" fillId="0" borderId="0" xfId="0" applyFont="1" applyBorder="1" applyAlignment="1">
      <alignment horizontal="left" vertical="center" wrapText="1" indent="1"/>
    </xf>
    <xf numFmtId="49" fontId="73" fillId="0" borderId="19" xfId="0" applyNumberFormat="1" applyFont="1" applyBorder="1" applyAlignment="1">
      <alignment horizontal="left" vertical="center" indent="1"/>
    </xf>
    <xf numFmtId="0" fontId="73" fillId="0" borderId="5" xfId="0" applyFont="1" applyBorder="1" applyAlignment="1">
      <alignment horizontal="left" vertical="center" wrapText="1" indent="1"/>
    </xf>
    <xf numFmtId="0" fontId="73" fillId="0" borderId="5" xfId="0" applyFont="1" applyFill="1" applyBorder="1" applyAlignment="1" applyProtection="1">
      <alignment horizontal="left" vertical="center" wrapText="1" indent="1"/>
    </xf>
    <xf numFmtId="49" fontId="73" fillId="0" borderId="2" xfId="0" applyNumberFormat="1" applyFont="1" applyBorder="1" applyAlignment="1">
      <alignment horizontal="left" vertical="center" indent="1"/>
    </xf>
    <xf numFmtId="49" fontId="73" fillId="0" borderId="19" xfId="0" applyNumberFormat="1" applyFont="1" applyFill="1" applyBorder="1" applyAlignment="1" applyProtection="1">
      <alignment horizontal="left" vertical="center" indent="1"/>
    </xf>
    <xf numFmtId="0" fontId="73" fillId="0" borderId="2" xfId="0" applyNumberFormat="1" applyFont="1" applyFill="1" applyBorder="1" applyAlignment="1" applyProtection="1">
      <alignment horizontal="left" vertical="center" indent="1"/>
    </xf>
    <xf numFmtId="0" fontId="73" fillId="0" borderId="2" xfId="0" applyNumberFormat="1" applyFont="1" applyBorder="1" applyAlignment="1">
      <alignment horizontal="left" vertical="center" indent="1"/>
    </xf>
    <xf numFmtId="0" fontId="73" fillId="0" borderId="19" xfId="0" applyNumberFormat="1" applyFont="1" applyFill="1" applyBorder="1" applyAlignment="1" applyProtection="1">
      <alignment horizontal="left" vertical="center" indent="1"/>
    </xf>
    <xf numFmtId="0" fontId="74" fillId="0" borderId="5" xfId="0" applyFont="1" applyBorder="1" applyAlignment="1">
      <alignment horizontal="left" vertical="center" wrapText="1"/>
    </xf>
    <xf numFmtId="0" fontId="73" fillId="0" borderId="4" xfId="7" applyNumberFormat="1" applyFont="1" applyFill="1" applyBorder="1" applyAlignment="1" applyProtection="1">
      <alignment horizontal="left" vertical="center" indent="1"/>
    </xf>
    <xf numFmtId="16" fontId="73" fillId="0" borderId="3" xfId="0" applyNumberFormat="1" applyFont="1" applyFill="1" applyBorder="1" applyAlignment="1" applyProtection="1">
      <alignment horizontal="left" vertical="center" wrapText="1" indent="1"/>
    </xf>
    <xf numFmtId="0" fontId="73" fillId="0" borderId="19" xfId="0" applyNumberFormat="1" applyFont="1" applyBorder="1" applyAlignment="1">
      <alignment horizontal="left" vertical="center" indent="1"/>
    </xf>
    <xf numFmtId="0" fontId="73" fillId="0" borderId="3" xfId="0" quotePrefix="1" applyFont="1" applyBorder="1" applyAlignment="1" applyProtection="1">
      <alignment horizontal="left" vertical="center" wrapText="1" indent="1"/>
    </xf>
    <xf numFmtId="49" fontId="73" fillId="0" borderId="19" xfId="0" applyNumberFormat="1" applyFont="1" applyBorder="1" applyAlignment="1" applyProtection="1">
      <alignment horizontal="left" vertical="center" indent="1"/>
    </xf>
    <xf numFmtId="49" fontId="73" fillId="4" borderId="4" xfId="0" applyNumberFormat="1" applyFont="1" applyFill="1" applyBorder="1" applyAlignment="1" applyProtection="1">
      <alignment horizontal="left" vertical="center" indent="1"/>
    </xf>
    <xf numFmtId="0" fontId="74" fillId="4" borderId="3" xfId="0" applyFont="1" applyFill="1" applyBorder="1" applyAlignment="1" applyProtection="1">
      <alignment horizontal="left" vertical="center" wrapText="1"/>
    </xf>
    <xf numFmtId="0" fontId="73" fillId="4" borderId="3" xfId="0" applyFont="1" applyFill="1" applyBorder="1" applyAlignment="1" applyProtection="1">
      <alignment horizontal="left" vertical="center" wrapText="1" indent="1"/>
    </xf>
    <xf numFmtId="0" fontId="68" fillId="4" borderId="0" xfId="0" applyFont="1" applyFill="1" applyProtection="1"/>
    <xf numFmtId="0" fontId="73" fillId="4" borderId="4" xfId="0" applyNumberFormat="1" applyFont="1" applyFill="1" applyBorder="1" applyAlignment="1" applyProtection="1">
      <alignment horizontal="left" vertical="center" indent="1"/>
    </xf>
    <xf numFmtId="49" fontId="73" fillId="4" borderId="3" xfId="0" applyNumberFormat="1" applyFont="1" applyFill="1" applyBorder="1" applyAlignment="1" applyProtection="1">
      <alignment horizontal="left" vertical="center" wrapText="1" indent="1"/>
    </xf>
    <xf numFmtId="0" fontId="74" fillId="4" borderId="3" xfId="0" applyFont="1" applyFill="1" applyBorder="1" applyAlignment="1" applyProtection="1">
      <alignment horizontal="left" vertical="center" wrapText="1" indent="1"/>
    </xf>
    <xf numFmtId="0" fontId="71" fillId="4" borderId="1" xfId="0" applyFont="1" applyFill="1" applyBorder="1" applyAlignment="1" applyProtection="1">
      <alignment horizontal="right" vertical="top" indent="2"/>
    </xf>
    <xf numFmtId="0" fontId="74" fillId="4" borderId="0" xfId="0" applyFont="1" applyFill="1" applyBorder="1" applyAlignment="1" applyProtection="1">
      <alignment horizontal="center" vertical="center"/>
    </xf>
    <xf numFmtId="16" fontId="73" fillId="0" borderId="5" xfId="0" applyNumberFormat="1" applyFont="1" applyBorder="1" applyAlignment="1">
      <alignment horizontal="left" vertical="center" wrapText="1" indent="1"/>
    </xf>
    <xf numFmtId="0" fontId="73" fillId="0" borderId="4" xfId="0" applyNumberFormat="1" applyFont="1" applyBorder="1" applyAlignment="1">
      <alignment horizontal="left" vertical="center" indent="2"/>
    </xf>
    <xf numFmtId="49" fontId="73" fillId="0" borderId="20" xfId="0" applyNumberFormat="1" applyFont="1" applyBorder="1" applyAlignment="1">
      <alignment horizontal="left" vertical="center" indent="2"/>
    </xf>
    <xf numFmtId="49" fontId="73" fillId="0" borderId="20" xfId="0" applyNumberFormat="1" applyFont="1" applyFill="1" applyBorder="1" applyAlignment="1" applyProtection="1">
      <alignment horizontal="left" vertical="center" indent="1"/>
    </xf>
    <xf numFmtId="49" fontId="73" fillId="0" borderId="4" xfId="0" applyNumberFormat="1" applyFont="1" applyBorder="1" applyAlignment="1">
      <alignment horizontal="left" vertical="center" indent="5"/>
    </xf>
    <xf numFmtId="0" fontId="74" fillId="0" borderId="5" xfId="0" applyFont="1" applyBorder="1" applyAlignment="1">
      <alignment horizontal="left" vertical="center" wrapText="1" indent="1"/>
    </xf>
    <xf numFmtId="0" fontId="73" fillId="0" borderId="3" xfId="0" applyFont="1" applyBorder="1" applyAlignment="1">
      <alignment horizontal="left" vertical="center" wrapText="1" indent="4"/>
    </xf>
    <xf numFmtId="0" fontId="74" fillId="0" borderId="3" xfId="0" applyFont="1" applyBorder="1" applyAlignment="1">
      <alignment horizontal="left" vertical="center" wrapText="1" indent="3"/>
    </xf>
    <xf numFmtId="49" fontId="73" fillId="0" borderId="4" xfId="0" applyNumberFormat="1" applyFont="1" applyBorder="1" applyAlignment="1">
      <alignment horizontal="left" vertical="center" indent="3"/>
    </xf>
    <xf numFmtId="49" fontId="73" fillId="0" borderId="4" xfId="0" applyNumberFormat="1" applyFont="1" applyBorder="1" applyAlignment="1">
      <alignment horizontal="left" vertical="center" indent="4"/>
    </xf>
    <xf numFmtId="0" fontId="73" fillId="0" borderId="3" xfId="0" applyFont="1" applyBorder="1" applyAlignment="1">
      <alignment horizontal="left" vertical="center" wrapText="1" indent="5"/>
    </xf>
    <xf numFmtId="0" fontId="73" fillId="0" borderId="4" xfId="0" applyNumberFormat="1" applyFont="1" applyBorder="1" applyAlignment="1">
      <alignment horizontal="left" vertical="center" indent="4"/>
    </xf>
    <xf numFmtId="0" fontId="73" fillId="4" borderId="0" xfId="0" applyFont="1" applyFill="1" applyBorder="1" applyAlignment="1" applyProtection="1">
      <alignment horizontal="left" vertical="center" wrapText="1" indent="1"/>
    </xf>
    <xf numFmtId="2" fontId="70" fillId="0" borderId="1" xfId="0" applyNumberFormat="1" applyFont="1" applyBorder="1" applyAlignment="1" applyProtection="1">
      <alignment horizontal="center" vertical="center"/>
    </xf>
    <xf numFmtId="0" fontId="71" fillId="0" borderId="0" xfId="0" applyFont="1" applyFill="1" applyBorder="1" applyAlignment="1" applyProtection="1">
      <alignment horizontal="center" vertical="top" wrapText="1"/>
    </xf>
    <xf numFmtId="49" fontId="68" fillId="0" borderId="26" xfId="0" applyNumberFormat="1" applyFont="1" applyBorder="1" applyAlignment="1" applyProtection="1">
      <alignment horizontal="right" vertical="center"/>
    </xf>
    <xf numFmtId="49" fontId="72" fillId="0" borderId="26" xfId="0" applyNumberFormat="1" applyFont="1" applyBorder="1" applyAlignment="1" applyProtection="1">
      <alignment horizontal="left" vertical="center" wrapText="1" indent="1"/>
    </xf>
    <xf numFmtId="0" fontId="68" fillId="0" borderId="26" xfId="0" applyFont="1" applyBorder="1" applyAlignment="1" applyProtection="1">
      <alignment horizontal="center"/>
    </xf>
    <xf numFmtId="0" fontId="68" fillId="0" borderId="26" xfId="0" applyFont="1" applyBorder="1" applyProtection="1"/>
    <xf numFmtId="0" fontId="68" fillId="0" borderId="0" xfId="0" applyFont="1" applyBorder="1" applyAlignment="1" applyProtection="1">
      <alignment horizontal="center"/>
    </xf>
    <xf numFmtId="0" fontId="74" fillId="0" borderId="27" xfId="0" applyFont="1" applyFill="1" applyBorder="1" applyAlignment="1" applyProtection="1">
      <alignment horizontal="left" vertical="center"/>
    </xf>
    <xf numFmtId="0" fontId="74" fillId="0" borderId="8" xfId="0" applyFont="1" applyFill="1" applyBorder="1" applyAlignment="1" applyProtection="1">
      <alignment horizontal="center" vertical="center"/>
    </xf>
    <xf numFmtId="44" fontId="74" fillId="0" borderId="8" xfId="1" applyFont="1" applyBorder="1" applyAlignment="1" applyProtection="1">
      <alignment horizontal="center" vertical="center"/>
    </xf>
    <xf numFmtId="0" fontId="74" fillId="0" borderId="8" xfId="0" applyFont="1" applyBorder="1" applyAlignment="1" applyProtection="1">
      <alignment horizontal="center" vertical="center"/>
    </xf>
    <xf numFmtId="0" fontId="74" fillId="0" borderId="28" xfId="0" applyFont="1" applyFill="1" applyBorder="1" applyAlignment="1" applyProtection="1">
      <alignment horizontal="center" vertical="center"/>
    </xf>
    <xf numFmtId="0" fontId="74" fillId="0" borderId="3" xfId="0" applyFont="1" applyBorder="1" applyAlignment="1" applyProtection="1">
      <alignment horizontal="left" vertical="center" wrapText="1" indent="1"/>
    </xf>
    <xf numFmtId="44" fontId="73" fillId="0" borderId="0" xfId="1" applyFont="1" applyFill="1" applyBorder="1" applyProtection="1"/>
    <xf numFmtId="44" fontId="73" fillId="0" borderId="29" xfId="1" applyFont="1" applyFill="1" applyBorder="1" applyAlignment="1" applyProtection="1">
      <alignment horizontal="left" vertical="center" wrapText="1" indent="1"/>
    </xf>
    <xf numFmtId="49" fontId="73" fillId="0" borderId="2" xfId="0" applyNumberFormat="1" applyFont="1" applyFill="1" applyBorder="1" applyAlignment="1">
      <alignment horizontal="left" vertical="center" indent="1"/>
    </xf>
    <xf numFmtId="0" fontId="73" fillId="0" borderId="6" xfId="0" applyFont="1" applyFill="1" applyBorder="1" applyAlignment="1" applyProtection="1">
      <alignment horizontal="center" vertical="center" wrapText="1"/>
    </xf>
    <xf numFmtId="0" fontId="73" fillId="0" borderId="0" xfId="0" applyFont="1" applyFill="1" applyBorder="1" applyAlignment="1" applyProtection="1">
      <alignment horizontal="center" vertical="center" wrapText="1"/>
    </xf>
    <xf numFmtId="0" fontId="70" fillId="0" borderId="3" xfId="0" applyFont="1" applyBorder="1" applyAlignment="1" applyProtection="1">
      <alignment horizontal="left" vertical="center" wrapText="1" indent="1"/>
    </xf>
    <xf numFmtId="0" fontId="73" fillId="0" borderId="30" xfId="0" applyFont="1" applyBorder="1" applyAlignment="1" applyProtection="1">
      <alignment horizontal="left" vertical="center" wrapText="1" indent="1"/>
    </xf>
    <xf numFmtId="44" fontId="73" fillId="0" borderId="0" xfId="1" applyFont="1" applyBorder="1" applyAlignment="1" applyProtection="1">
      <alignment horizontal="center" vertical="center" wrapText="1"/>
    </xf>
    <xf numFmtId="44" fontId="73" fillId="0" borderId="0" xfId="0" applyNumberFormat="1" applyFont="1" applyBorder="1" applyProtection="1"/>
    <xf numFmtId="0" fontId="73" fillId="0" borderId="4" xfId="0" applyNumberFormat="1" applyFont="1" applyFill="1" applyBorder="1" applyAlignment="1" applyProtection="1">
      <alignment horizontal="left" vertical="center" indent="3"/>
    </xf>
    <xf numFmtId="0" fontId="74" fillId="0" borderId="3" xfId="0" applyFont="1" applyBorder="1" applyAlignment="1" applyProtection="1">
      <alignment horizontal="left" vertical="center" wrapText="1" indent="2"/>
    </xf>
    <xf numFmtId="0" fontId="73" fillId="0" borderId="3" xfId="0" applyFont="1" applyBorder="1" applyAlignment="1" applyProtection="1">
      <alignment horizontal="left" vertical="center" wrapText="1" indent="3"/>
    </xf>
    <xf numFmtId="44" fontId="73" fillId="0" borderId="3" xfId="1" applyNumberFormat="1" applyFont="1" applyBorder="1" applyAlignment="1" applyProtection="1">
      <alignment horizontal="left" vertical="center" wrapText="1" indent="1"/>
    </xf>
    <xf numFmtId="49" fontId="73" fillId="0" borderId="4" xfId="0" applyNumberFormat="1" applyFont="1" applyFill="1" applyBorder="1" applyAlignment="1" applyProtection="1">
      <alignment horizontal="left" vertical="center" indent="3"/>
    </xf>
    <xf numFmtId="49" fontId="73" fillId="0" borderId="4" xfId="0" applyNumberFormat="1" applyFont="1" applyFill="1" applyBorder="1" applyAlignment="1">
      <alignment horizontal="left" vertical="center" indent="3"/>
    </xf>
    <xf numFmtId="49" fontId="73" fillId="0" borderId="4" xfId="7" applyNumberFormat="1" applyFont="1" applyFill="1" applyBorder="1" applyAlignment="1">
      <alignment horizontal="left" vertical="center" indent="3"/>
    </xf>
    <xf numFmtId="49" fontId="73" fillId="0" borderId="3" xfId="0" applyNumberFormat="1" applyFont="1" applyBorder="1" applyAlignment="1" applyProtection="1">
      <alignment horizontal="center" vertical="center" wrapText="1"/>
    </xf>
    <xf numFmtId="0" fontId="73" fillId="0" borderId="3" xfId="0" applyNumberFormat="1" applyFont="1" applyBorder="1" applyAlignment="1" applyProtection="1">
      <alignment horizontal="center" vertical="center" wrapText="1"/>
    </xf>
    <xf numFmtId="0" fontId="68" fillId="0" borderId="29" xfId="0" applyFont="1" applyBorder="1" applyProtection="1"/>
    <xf numFmtId="0" fontId="73" fillId="0" borderId="31" xfId="0" applyNumberFormat="1" applyFont="1" applyBorder="1" applyAlignment="1" applyProtection="1">
      <alignment horizontal="left" vertical="center" wrapText="1" indent="3"/>
    </xf>
    <xf numFmtId="49" fontId="68" fillId="0" borderId="31" xfId="0" applyNumberFormat="1" applyFont="1" applyBorder="1" applyProtection="1"/>
    <xf numFmtId="49" fontId="73" fillId="0" borderId="31" xfId="0" applyNumberFormat="1" applyFont="1" applyFill="1" applyBorder="1" applyAlignment="1" applyProtection="1">
      <alignment horizontal="left" vertical="center" indent="1"/>
    </xf>
    <xf numFmtId="0" fontId="73" fillId="0" borderId="29" xfId="0" applyFont="1" applyBorder="1" applyAlignment="1" applyProtection="1">
      <alignment horizontal="left" vertical="center" wrapText="1" indent="1"/>
    </xf>
    <xf numFmtId="0" fontId="68" fillId="0" borderId="1" xfId="0" applyFont="1" applyFill="1" applyBorder="1" applyAlignment="1" applyProtection="1">
      <alignment horizontal="left" vertical="center"/>
    </xf>
    <xf numFmtId="0" fontId="68" fillId="0" borderId="1" xfId="0" applyFont="1" applyFill="1" applyBorder="1" applyAlignment="1" applyProtection="1">
      <alignment horizontal="left"/>
    </xf>
    <xf numFmtId="0" fontId="73" fillId="0" borderId="32" xfId="0" applyFont="1" applyBorder="1" applyAlignment="1" applyProtection="1">
      <alignment horizontal="left" vertical="center" wrapText="1" indent="2"/>
    </xf>
    <xf numFmtId="0" fontId="73" fillId="0" borderId="33" xfId="0" applyFont="1" applyBorder="1" applyAlignment="1" applyProtection="1">
      <alignment horizontal="center" vertical="center" wrapText="1"/>
    </xf>
    <xf numFmtId="2" fontId="73" fillId="0" borderId="33" xfId="0" applyNumberFormat="1" applyFont="1" applyBorder="1" applyAlignment="1" applyProtection="1">
      <alignment horizontal="left" vertical="center" wrapText="1" indent="1"/>
    </xf>
    <xf numFmtId="0" fontId="73" fillId="0" borderId="33" xfId="0" applyFont="1" applyBorder="1" applyAlignment="1" applyProtection="1">
      <alignment horizontal="left" vertical="center" wrapText="1" indent="1"/>
    </xf>
    <xf numFmtId="2" fontId="73" fillId="0" borderId="33" xfId="1" applyNumberFormat="1" applyFont="1" applyBorder="1" applyAlignment="1" applyProtection="1">
      <alignment horizontal="left" vertical="center" wrapText="1" indent="1"/>
    </xf>
    <xf numFmtId="9" fontId="73" fillId="0" borderId="33" xfId="2" applyFont="1" applyBorder="1" applyAlignment="1" applyProtection="1">
      <alignment horizontal="center" vertical="center" wrapText="1"/>
    </xf>
    <xf numFmtId="0" fontId="73" fillId="0" borderId="34" xfId="0" applyFont="1" applyBorder="1" applyAlignment="1" applyProtection="1">
      <alignment horizontal="left" vertical="center" wrapText="1" indent="1"/>
    </xf>
    <xf numFmtId="0" fontId="16" fillId="4" borderId="0" xfId="5" applyFont="1" applyFill="1" applyBorder="1" applyAlignment="1" applyProtection="1">
      <alignment horizontal="left" vertical="center"/>
    </xf>
    <xf numFmtId="0" fontId="76" fillId="4" borderId="0" xfId="5" applyFont="1" applyFill="1" applyBorder="1" applyAlignment="1" applyProtection="1">
      <alignment horizontal="center" vertical="center" wrapText="1"/>
    </xf>
    <xf numFmtId="0" fontId="45" fillId="4" borderId="0" xfId="5" applyFont="1" applyFill="1" applyBorder="1" applyAlignment="1" applyProtection="1">
      <alignment horizontal="center" vertical="center"/>
    </xf>
    <xf numFmtId="44" fontId="16" fillId="4" borderId="0" xfId="1" applyFont="1" applyFill="1" applyBorder="1" applyAlignment="1" applyProtection="1">
      <alignment horizontal="center" vertical="center"/>
    </xf>
    <xf numFmtId="164" fontId="16" fillId="4" borderId="0" xfId="1" applyNumberFormat="1" applyFont="1" applyFill="1" applyBorder="1" applyAlignment="1" applyProtection="1">
      <alignment horizontal="center" vertical="center"/>
    </xf>
    <xf numFmtId="0" fontId="45" fillId="4" borderId="0" xfId="0" applyFont="1" applyFill="1" applyAlignment="1" applyProtection="1">
      <alignment horizontal="right" vertical="center"/>
    </xf>
    <xf numFmtId="0" fontId="45" fillId="4" borderId="0" xfId="5" applyFont="1" applyFill="1" applyBorder="1" applyAlignment="1" applyProtection="1">
      <alignment horizontal="left" vertical="center"/>
    </xf>
    <xf numFmtId="44" fontId="46" fillId="4" borderId="0" xfId="0" applyNumberFormat="1" applyFont="1" applyFill="1" applyBorder="1" applyAlignment="1" applyProtection="1">
      <alignment horizontal="right" vertical="center"/>
    </xf>
    <xf numFmtId="0" fontId="21" fillId="0" borderId="0" xfId="8" applyFill="1" applyAlignment="1">
      <alignment horizontal="center"/>
    </xf>
    <xf numFmtId="0" fontId="41" fillId="0" borderId="0" xfId="3" applyFont="1" applyFill="1" applyBorder="1" applyAlignment="1" applyProtection="1">
      <alignment horizontal="center" vertical="center"/>
    </xf>
    <xf numFmtId="0" fontId="9" fillId="3" borderId="1" xfId="0" applyFont="1" applyFill="1" applyBorder="1" applyAlignment="1" applyProtection="1">
      <alignment horizontal="center" vertical="center" wrapText="1"/>
    </xf>
    <xf numFmtId="1" fontId="25" fillId="4" borderId="1" xfId="0" applyNumberFormat="1" applyFont="1" applyFill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horizontal="center" vertical="center"/>
    </xf>
    <xf numFmtId="0" fontId="2" fillId="4" borderId="1" xfId="5" applyFont="1" applyFill="1" applyBorder="1" applyAlignment="1" applyProtection="1">
      <alignment horizontal="center" vertical="center"/>
    </xf>
    <xf numFmtId="1" fontId="9" fillId="3" borderId="1" xfId="0" applyNumberFormat="1" applyFont="1" applyFill="1" applyBorder="1" applyAlignment="1" applyProtection="1">
      <alignment horizontal="center" vertical="center" wrapText="1"/>
    </xf>
    <xf numFmtId="1" fontId="9" fillId="3" borderId="1" xfId="0" applyNumberFormat="1" applyFont="1" applyFill="1" applyBorder="1" applyAlignment="1" applyProtection="1">
      <alignment horizontal="center" vertical="center"/>
    </xf>
    <xf numFmtId="0" fontId="9" fillId="3" borderId="1" xfId="0" applyFont="1" applyFill="1" applyBorder="1" applyAlignment="1" applyProtection="1">
      <alignment horizontal="center" vertical="center"/>
    </xf>
    <xf numFmtId="1" fontId="9" fillId="4" borderId="1" xfId="0" applyNumberFormat="1" applyFont="1" applyFill="1" applyBorder="1" applyAlignment="1" applyProtection="1">
      <alignment horizontal="center" vertical="center"/>
    </xf>
    <xf numFmtId="0" fontId="66" fillId="4" borderId="0" xfId="0" applyFont="1" applyFill="1" applyBorder="1" applyAlignment="1" applyProtection="1">
      <alignment horizontal="center" vertical="center" wrapText="1"/>
    </xf>
    <xf numFmtId="0" fontId="3" fillId="7" borderId="9" xfId="0" applyFont="1" applyFill="1" applyBorder="1" applyAlignment="1" applyProtection="1">
      <alignment horizontal="left" vertical="center"/>
      <protection locked="0"/>
    </xf>
    <xf numFmtId="0" fontId="3" fillId="7" borderId="6" xfId="0" applyFont="1" applyFill="1" applyBorder="1" applyAlignment="1" applyProtection="1">
      <alignment horizontal="left" vertical="center"/>
      <protection locked="0"/>
    </xf>
    <xf numFmtId="0" fontId="3" fillId="7" borderId="7" xfId="0" applyFont="1" applyFill="1" applyBorder="1" applyAlignment="1" applyProtection="1">
      <alignment horizontal="left" vertical="center"/>
      <protection locked="0"/>
    </xf>
    <xf numFmtId="0" fontId="19" fillId="4" borderId="0" xfId="0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horizontal="center" vertical="center" wrapText="1"/>
    </xf>
    <xf numFmtId="0" fontId="3" fillId="4" borderId="0" xfId="0" applyFont="1" applyFill="1" applyBorder="1" applyAlignment="1" applyProtection="1">
      <alignment horizontal="left" vertical="center"/>
    </xf>
    <xf numFmtId="0" fontId="3" fillId="4" borderId="35" xfId="0" applyFont="1" applyFill="1" applyBorder="1" applyAlignment="1" applyProtection="1">
      <alignment horizontal="left" vertical="center"/>
    </xf>
    <xf numFmtId="0" fontId="3" fillId="4" borderId="0" xfId="0" quotePrefix="1" applyFont="1" applyFill="1" applyBorder="1" applyAlignment="1" applyProtection="1">
      <alignment horizontal="center" vertical="center"/>
    </xf>
    <xf numFmtId="0" fontId="3" fillId="4" borderId="0" xfId="0" applyFont="1" applyFill="1" applyBorder="1" applyAlignment="1" applyProtection="1">
      <alignment horizontal="center" vertical="center"/>
    </xf>
    <xf numFmtId="0" fontId="4" fillId="7" borderId="9" xfId="0" applyFont="1" applyFill="1" applyBorder="1" applyAlignment="1" applyProtection="1">
      <alignment horizontal="left" vertical="center"/>
      <protection locked="0"/>
    </xf>
    <xf numFmtId="0" fontId="4" fillId="7" borderId="6" xfId="0" applyFont="1" applyFill="1" applyBorder="1" applyAlignment="1" applyProtection="1">
      <alignment horizontal="left" vertical="center"/>
      <protection locked="0"/>
    </xf>
    <xf numFmtId="0" fontId="4" fillId="7" borderId="7" xfId="0" applyFont="1" applyFill="1" applyBorder="1" applyAlignment="1" applyProtection="1">
      <alignment horizontal="left" vertical="center"/>
      <protection locked="0"/>
    </xf>
    <xf numFmtId="0" fontId="54" fillId="4" borderId="0" xfId="0" applyFont="1" applyFill="1" applyBorder="1" applyAlignment="1" applyProtection="1">
      <alignment horizontal="center" vertical="center"/>
    </xf>
    <xf numFmtId="0" fontId="55" fillId="0" borderId="0" xfId="0" applyFont="1" applyAlignment="1">
      <alignment horizontal="center" vertical="center"/>
    </xf>
    <xf numFmtId="0" fontId="4" fillId="7" borderId="21" xfId="0" applyFont="1" applyFill="1" applyBorder="1" applyAlignment="1" applyProtection="1">
      <alignment horizontal="left" vertical="center"/>
      <protection locked="0"/>
    </xf>
    <xf numFmtId="0" fontId="4" fillId="7" borderId="22" xfId="0" applyFont="1" applyFill="1" applyBorder="1" applyAlignment="1" applyProtection="1">
      <alignment horizontal="left" vertical="center"/>
      <protection locked="0"/>
    </xf>
    <xf numFmtId="0" fontId="4" fillId="7" borderId="23" xfId="0" applyFont="1" applyFill="1" applyBorder="1" applyAlignment="1" applyProtection="1">
      <alignment horizontal="left" vertical="center"/>
      <protection locked="0"/>
    </xf>
    <xf numFmtId="0" fontId="23" fillId="4" borderId="0" xfId="0" applyFont="1" applyFill="1" applyBorder="1" applyAlignment="1" applyProtection="1">
      <alignment horizontal="center" vertical="center" wrapText="1"/>
    </xf>
    <xf numFmtId="2" fontId="3" fillId="4" borderId="0" xfId="0" applyNumberFormat="1" applyFont="1" applyFill="1" applyBorder="1" applyAlignment="1" applyProtection="1">
      <alignment horizontal="left" vertical="center"/>
    </xf>
    <xf numFmtId="0" fontId="3" fillId="4" borderId="9" xfId="0" applyFont="1" applyFill="1" applyBorder="1" applyAlignment="1" applyProtection="1">
      <alignment horizontal="left" vertical="center"/>
    </xf>
    <xf numFmtId="0" fontId="3" fillId="4" borderId="6" xfId="0" applyFont="1" applyFill="1" applyBorder="1" applyAlignment="1" applyProtection="1">
      <alignment horizontal="left" vertical="center"/>
    </xf>
    <xf numFmtId="0" fontId="3" fillId="4" borderId="7" xfId="0" applyFont="1" applyFill="1" applyBorder="1" applyAlignment="1" applyProtection="1">
      <alignment horizontal="left" vertical="center"/>
    </xf>
    <xf numFmtId="0" fontId="2" fillId="4" borderId="1" xfId="5" applyFont="1" applyFill="1" applyBorder="1" applyAlignment="1" applyProtection="1">
      <alignment horizontal="center" vertical="center"/>
      <protection locked="0"/>
    </xf>
    <xf numFmtId="1" fontId="9" fillId="4" borderId="1" xfId="0" applyNumberFormat="1" applyFont="1" applyFill="1" applyBorder="1" applyAlignment="1" applyProtection="1">
      <alignment horizontal="center" vertical="center"/>
      <protection locked="0"/>
    </xf>
    <xf numFmtId="0" fontId="9" fillId="4" borderId="1" xfId="0" applyFont="1" applyFill="1" applyBorder="1" applyAlignment="1" applyProtection="1">
      <alignment horizontal="center" vertical="center"/>
      <protection locked="0"/>
    </xf>
    <xf numFmtId="1" fontId="25" fillId="4" borderId="1" xfId="0" applyNumberFormat="1" applyFont="1" applyFill="1" applyBorder="1" applyAlignment="1" applyProtection="1">
      <alignment horizontal="center" vertical="center"/>
      <protection locked="0"/>
    </xf>
    <xf numFmtId="0" fontId="22" fillId="0" borderId="0" xfId="0" applyFont="1" applyAlignment="1">
      <alignment horizontal="center"/>
    </xf>
    <xf numFmtId="0" fontId="77" fillId="4" borderId="0" xfId="0" applyFont="1" applyFill="1" applyBorder="1" applyAlignment="1" applyProtection="1">
      <alignment vertical="center"/>
    </xf>
    <xf numFmtId="0" fontId="77" fillId="4" borderId="0" xfId="0" applyFont="1" applyFill="1" applyAlignment="1" applyProtection="1">
      <alignment vertical="center"/>
    </xf>
    <xf numFmtId="9" fontId="16" fillId="4" borderId="0" xfId="2" applyFont="1" applyFill="1" applyBorder="1" applyAlignment="1" applyProtection="1">
      <alignment horizontal="left" vertical="center"/>
    </xf>
    <xf numFmtId="9" fontId="45" fillId="4" borderId="0" xfId="2" applyFont="1" applyFill="1" applyBorder="1" applyAlignment="1" applyProtection="1">
      <alignment horizontal="left" vertical="center"/>
    </xf>
    <xf numFmtId="44" fontId="16" fillId="4" borderId="0" xfId="0" applyNumberFormat="1" applyFont="1" applyFill="1" applyBorder="1" applyAlignment="1" applyProtection="1">
      <alignment vertical="center"/>
    </xf>
    <xf numFmtId="0" fontId="46" fillId="4" borderId="0" xfId="0" applyFont="1" applyFill="1" applyBorder="1" applyAlignment="1" applyProtection="1">
      <alignment vertical="center"/>
    </xf>
    <xf numFmtId="44" fontId="46" fillId="4" borderId="0" xfId="0" applyNumberFormat="1" applyFont="1" applyFill="1" applyBorder="1" applyAlignment="1" applyProtection="1">
      <alignment vertical="center"/>
    </xf>
    <xf numFmtId="0" fontId="68" fillId="3" borderId="24" xfId="0" applyFont="1" applyFill="1" applyBorder="1" applyAlignment="1" applyProtection="1">
      <alignment horizontal="center" vertical="center"/>
    </xf>
    <xf numFmtId="0" fontId="68" fillId="3" borderId="25" xfId="0" applyFont="1" applyFill="1" applyBorder="1" applyAlignment="1" applyProtection="1">
      <alignment horizontal="center" vertical="center"/>
    </xf>
    <xf numFmtId="0" fontId="68" fillId="4" borderId="24" xfId="5" applyFont="1" applyFill="1" applyBorder="1" applyAlignment="1" applyProtection="1">
      <alignment horizontal="center" vertical="center"/>
    </xf>
    <xf numFmtId="0" fontId="68" fillId="4" borderId="25" xfId="5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/>
    <xf numFmtId="0" fontId="16" fillId="4" borderId="0" xfId="0" applyFont="1" applyFill="1" applyAlignment="1" applyProtection="1">
      <alignment horizontal="center" vertical="center"/>
    </xf>
    <xf numFmtId="14" fontId="16" fillId="4" borderId="0" xfId="0" applyNumberFormat="1" applyFont="1" applyFill="1" applyBorder="1" applyAlignment="1" applyProtection="1">
      <alignment horizontal="left" vertical="center"/>
    </xf>
  </cellXfs>
  <cellStyles count="56">
    <cellStyle name="20 % - Akzent1" xfId="27" builtinId="30" customBuiltin="1"/>
    <cellStyle name="20 % - Akzent2" xfId="31" builtinId="34" customBuiltin="1"/>
    <cellStyle name="20 % - Akzent3" xfId="35" builtinId="38" customBuiltin="1"/>
    <cellStyle name="20 % - Akzent4" xfId="39" builtinId="42" customBuiltin="1"/>
    <cellStyle name="20 % - Akzent5" xfId="43" builtinId="46" customBuiltin="1"/>
    <cellStyle name="20 % - Akzent6" xfId="47" builtinId="50" customBuiltin="1"/>
    <cellStyle name="40 % - Akzent1" xfId="28" builtinId="31" customBuiltin="1"/>
    <cellStyle name="40 % - Akzent2" xfId="32" builtinId="35" customBuiltin="1"/>
    <cellStyle name="40 % - Akzent3" xfId="36" builtinId="39" customBuiltin="1"/>
    <cellStyle name="40 % - Akzent4" xfId="40" builtinId="43" customBuiltin="1"/>
    <cellStyle name="40 % - Akzent5" xfId="44" builtinId="47" customBuiltin="1"/>
    <cellStyle name="40 % - Akzent6" xfId="48" builtinId="51" customBuiltin="1"/>
    <cellStyle name="60 % - Akzent1" xfId="29" builtinId="32" customBuiltin="1"/>
    <cellStyle name="60 % - Akzent2" xfId="33" builtinId="36" customBuiltin="1"/>
    <cellStyle name="60 % - Akzent3" xfId="37" builtinId="40" customBuiltin="1"/>
    <cellStyle name="60 % - Akzent4" xfId="41" builtinId="44" customBuiltin="1"/>
    <cellStyle name="60 % - Akzent5" xfId="45" builtinId="48" customBuiltin="1"/>
    <cellStyle name="60 % - Akzent6" xfId="49" builtinId="52" customBuiltin="1"/>
    <cellStyle name="Akzent1" xfId="26" builtinId="29" customBuiltin="1"/>
    <cellStyle name="Akzent2" xfId="30" builtinId="33" customBuiltin="1"/>
    <cellStyle name="Akzent3" xfId="34" builtinId="37" customBuiltin="1"/>
    <cellStyle name="Akzent4" xfId="38" builtinId="41" customBuiltin="1"/>
    <cellStyle name="Akzent5" xfId="42" builtinId="45" customBuiltin="1"/>
    <cellStyle name="Akzent6" xfId="46" builtinId="49" customBuiltin="1"/>
    <cellStyle name="Ausgabe" xfId="18" builtinId="21" customBuiltin="1"/>
    <cellStyle name="Berechnung" xfId="19" builtinId="22" customBuiltin="1"/>
    <cellStyle name="Eingabe" xfId="17" builtinId="20" customBuiltin="1"/>
    <cellStyle name="Ergebnis" xfId="25" builtinId="25" customBuiltin="1"/>
    <cellStyle name="Erklärender Text" xfId="24" builtinId="53" customBuiltin="1"/>
    <cellStyle name="Gut" xfId="10" builtinId="26" customBuiltin="1"/>
    <cellStyle name="Link" xfId="8" builtinId="8"/>
    <cellStyle name="Neutral" xfId="16" builtinId="28" customBuiltin="1"/>
    <cellStyle name="Normal_Pricer" xfId="5"/>
    <cellStyle name="Notiz" xfId="23" builtinId="10" customBuiltin="1"/>
    <cellStyle name="Notiz 2" xfId="55"/>
    <cellStyle name="Prozent" xfId="2" builtinId="5"/>
    <cellStyle name="Schlecht" xfId="7" builtinId="27" customBuiltin="1"/>
    <cellStyle name="Standaard_TP0701_2b" xfId="4"/>
    <cellStyle name="Standard" xfId="0" builtinId="0"/>
    <cellStyle name="Standard 2" xfId="3"/>
    <cellStyle name="Standard 3" xfId="50"/>
    <cellStyle name="Standard 3 2" xfId="54"/>
    <cellStyle name="Überschrift" xfId="11" builtinId="15" customBuiltin="1"/>
    <cellStyle name="Überschrift 1" xfId="12" builtinId="16" customBuiltin="1"/>
    <cellStyle name="Überschrift 2" xfId="13" builtinId="17" customBuiltin="1"/>
    <cellStyle name="Überschrift 3" xfId="14" builtinId="18" customBuiltin="1"/>
    <cellStyle name="Überschrift 4" xfId="15" builtinId="19" customBuiltin="1"/>
    <cellStyle name="Verknüpfte Zelle" xfId="20" builtinId="24" customBuiltin="1"/>
    <cellStyle name="Währung" xfId="1" builtinId="4"/>
    <cellStyle name="Währung 2" xfId="6"/>
    <cellStyle name="Währung 2 2" xfId="52"/>
    <cellStyle name="Währung 3" xfId="9"/>
    <cellStyle name="Währung 3 2" xfId="53"/>
    <cellStyle name="Währung 4" xfId="51"/>
    <cellStyle name="Warnender Text" xfId="22" builtinId="11" customBuiltin="1"/>
    <cellStyle name="Zelle überprüfen" xfId="21" builtinId="23" customBuiltin="1"/>
  </cellStyles>
  <dxfs count="950">
    <dxf>
      <font>
        <b/>
        <i val="0"/>
        <strike val="0"/>
        <u/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theme="0"/>
      </font>
    </dxf>
    <dxf>
      <font>
        <color rgb="FFFF0000"/>
      </font>
    </dxf>
    <dxf>
      <font>
        <color theme="0"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theme="0"/>
      </font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theme="0"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theme="0"/>
      </font>
    </dxf>
    <dxf>
      <font>
        <color auto="1"/>
      </font>
      <fill>
        <patternFill>
          <bgColor theme="0" tint="-4.9989318521683403E-2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theme="0"/>
      </font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theme="0"/>
      </font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rgb="FFFF0000"/>
      </font>
    </dxf>
    <dxf>
      <font>
        <color theme="0"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b/>
        <i val="0"/>
        <u/>
        <color rgb="FF00B0F0"/>
      </font>
    </dxf>
    <dxf>
      <font>
        <b/>
        <i val="0"/>
        <u/>
        <color rgb="FF00B0F0"/>
      </font>
    </dxf>
    <dxf>
      <font>
        <b/>
        <i val="0"/>
        <strike val="0"/>
        <u/>
        <color rgb="FF00B0F0"/>
      </font>
    </dxf>
    <dxf>
      <font>
        <b/>
        <i val="0"/>
        <u/>
        <color rgb="FF00B0F0"/>
      </font>
    </dxf>
    <dxf>
      <font>
        <b/>
        <i val="0"/>
        <u/>
        <color rgb="FF00B0F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theme="0"/>
      </font>
    </dxf>
    <dxf>
      <fill>
        <patternFill>
          <bgColor theme="0" tint="-4.9989318521683403E-2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0" tint="-4.9989318521683403E-2"/>
        </patternFill>
      </fill>
    </dxf>
    <dxf>
      <font>
        <color theme="0"/>
      </font>
    </dxf>
    <dxf>
      <fill>
        <patternFill>
          <bgColor theme="0" tint="-4.9989318521683403E-2"/>
        </patternFill>
      </fill>
    </dxf>
    <dxf>
      <font>
        <color theme="0"/>
      </font>
    </dxf>
    <dxf>
      <fill>
        <patternFill>
          <bgColor theme="0" tint="-4.9989318521683403E-2"/>
        </patternFill>
      </fill>
    </dxf>
    <dxf>
      <font>
        <color theme="0"/>
      </font>
    </dxf>
    <dxf>
      <fill>
        <patternFill>
          <bgColor theme="0" tint="-4.9989318521683403E-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0" tint="-4.9989318521683403E-2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4.9989318521683403E-2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4.9989318521683403E-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0" tint="-4.9989318521683403E-2"/>
        </patternFill>
      </fill>
    </dxf>
    <dxf>
      <font>
        <color theme="0"/>
      </font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0" tint="-4.9989318521683403E-2"/>
        </patternFill>
      </fill>
    </dxf>
    <dxf>
      <font>
        <b/>
        <i val="0"/>
        <u/>
        <color rgb="FF00B0F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  <u/>
        <color rgb="FF00B0F0"/>
      </font>
    </dxf>
    <dxf>
      <font>
        <b/>
        <i val="0"/>
        <u/>
        <color rgb="FF00B0F0"/>
      </font>
    </dxf>
    <dxf>
      <font>
        <color theme="0"/>
      </font>
    </dxf>
    <dxf>
      <fill>
        <patternFill>
          <bgColor theme="0" tint="-4.9989318521683403E-2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4.9989318521683403E-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0" tint="-4.9989318521683403E-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rgb="FFFF0000"/>
      </font>
    </dxf>
    <dxf>
      <font>
        <color theme="0"/>
      </font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theme="0"/>
      </font>
    </dxf>
    <dxf>
      <fill>
        <patternFill>
          <bgColor theme="0" tint="-4.9989318521683403E-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0" tint="-4.9989318521683403E-2"/>
        </patternFill>
      </fill>
    </dxf>
    <dxf>
      <font>
        <color theme="0"/>
      </font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theme="0"/>
      </font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theme="0"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auto="1"/>
      </font>
      <fill>
        <patternFill>
          <bgColor theme="0" tint="-4.9989318521683403E-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theme="0"/>
      </font>
    </dxf>
    <dxf>
      <font>
        <color auto="1"/>
      </font>
      <fill>
        <patternFill>
          <bgColor theme="0" tint="-4.9989318521683403E-2"/>
        </patternFill>
      </fill>
    </dxf>
    <dxf>
      <font>
        <color theme="0"/>
      </font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theme="0"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theme="0"/>
      </font>
    </dxf>
    <dxf>
      <font>
        <color theme="0"/>
      </font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theme="0"/>
      </font>
    </dxf>
    <dxf>
      <font>
        <color theme="0"/>
      </font>
    </dxf>
    <dxf>
      <font>
        <color auto="1"/>
      </font>
      <fill>
        <patternFill>
          <bgColor theme="0" tint="-4.9989318521683403E-2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rgb="FFFF0000"/>
      </font>
    </dxf>
    <dxf>
      <font>
        <color theme="0"/>
      </font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theme="0"/>
      </font>
    </dxf>
    <dxf>
      <fill>
        <patternFill>
          <bgColor theme="0" tint="-4.9989318521683403E-2"/>
        </patternFill>
      </fill>
    </dxf>
    <dxf>
      <font>
        <b/>
        <i val="0"/>
        <u/>
        <color rgb="FF00B0F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  <u/>
        <color rgb="FF00B0F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theme="0"/>
      </font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theme="0"/>
      </font>
    </dxf>
    <dxf>
      <font>
        <color auto="1"/>
      </font>
      <fill>
        <patternFill>
          <bgColor theme="0" tint="-4.9989318521683403E-2"/>
        </patternFill>
      </fill>
    </dxf>
    <dxf>
      <font>
        <color theme="0"/>
      </font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28" Type="http://schemas.openxmlformats.org/officeDocument/2006/relationships/customXml" Target="../customXml/item4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Relationship Id="rId27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448235</xdr:colOff>
      <xdr:row>135</xdr:row>
      <xdr:rowOff>100853</xdr:rowOff>
    </xdr:from>
    <xdr:to>
      <xdr:col>11</xdr:col>
      <xdr:colOff>728101</xdr:colOff>
      <xdr:row>137</xdr:row>
      <xdr:rowOff>7196</xdr:rowOff>
    </xdr:to>
    <xdr:pic>
      <xdr:nvPicPr>
        <xdr:cNvPr id="2" name="Grafik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506135" y="24694403"/>
          <a:ext cx="1622891" cy="80169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448235</xdr:colOff>
      <xdr:row>157</xdr:row>
      <xdr:rowOff>100853</xdr:rowOff>
    </xdr:from>
    <xdr:to>
      <xdr:col>11</xdr:col>
      <xdr:colOff>728101</xdr:colOff>
      <xdr:row>159</xdr:row>
      <xdr:rowOff>7196</xdr:rowOff>
    </xdr:to>
    <xdr:pic>
      <xdr:nvPicPr>
        <xdr:cNvPr id="2" name="Grafik 1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506135" y="23865728"/>
          <a:ext cx="1651466" cy="80169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448235</xdr:colOff>
      <xdr:row>112</xdr:row>
      <xdr:rowOff>100853</xdr:rowOff>
    </xdr:from>
    <xdr:to>
      <xdr:col>11</xdr:col>
      <xdr:colOff>728101</xdr:colOff>
      <xdr:row>114</xdr:row>
      <xdr:rowOff>7196</xdr:rowOff>
    </xdr:to>
    <xdr:pic>
      <xdr:nvPicPr>
        <xdr:cNvPr id="2" name="Grafik 1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506135" y="19998578"/>
          <a:ext cx="1622891" cy="801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448235</xdr:colOff>
      <xdr:row>80</xdr:row>
      <xdr:rowOff>100853</xdr:rowOff>
    </xdr:from>
    <xdr:to>
      <xdr:col>11</xdr:col>
      <xdr:colOff>728101</xdr:colOff>
      <xdr:row>82</xdr:row>
      <xdr:rowOff>7196</xdr:rowOff>
    </xdr:to>
    <xdr:pic>
      <xdr:nvPicPr>
        <xdr:cNvPr id="2" name="Grafik 1"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506135" y="18893678"/>
          <a:ext cx="1622891" cy="80169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448235</xdr:colOff>
      <xdr:row>53</xdr:row>
      <xdr:rowOff>100853</xdr:rowOff>
    </xdr:from>
    <xdr:to>
      <xdr:col>11</xdr:col>
      <xdr:colOff>728101</xdr:colOff>
      <xdr:row>55</xdr:row>
      <xdr:rowOff>7196</xdr:rowOff>
    </xdr:to>
    <xdr:pic>
      <xdr:nvPicPr>
        <xdr:cNvPr id="2" name="Grafik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506135" y="19865228"/>
          <a:ext cx="1622891" cy="80169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448235</xdr:colOff>
      <xdr:row>27</xdr:row>
      <xdr:rowOff>100853</xdr:rowOff>
    </xdr:from>
    <xdr:to>
      <xdr:col>10</xdr:col>
      <xdr:colOff>728101</xdr:colOff>
      <xdr:row>29</xdr:row>
      <xdr:rowOff>7196</xdr:rowOff>
    </xdr:to>
    <xdr:pic>
      <xdr:nvPicPr>
        <xdr:cNvPr id="2" name="Grafik 1">
          <a:extLst>
            <a:ext uri="{FF2B5EF4-FFF2-40B4-BE49-F238E27FC236}">
              <a16:creationId xmlns=""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506135" y="19865228"/>
          <a:ext cx="1622891" cy="80169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duktmanagement/Preisliste/1%20Konfigurator_INTERN/Archiv/Konfigurator%202013/mcd-konfigurator_INTER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duktmanagement/Preisliste/1%20Konfigurator_INTERN/Archiv/Konfigurator%202013/mcd-konfigurator_INTERN_2013-0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FB%207.2.3%20Rev_BJ1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MCD_QMS/liste_der_kalkulationen/Forms/Interner%20Pricer%20TL&#179;+OV&#178;_A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M_aescu-certus2"/>
      <sheetName val="BM_pana-ceia2"/>
      <sheetName val="BM_tha-leia-19 non-Touch"/>
      <sheetName val="BM_tha-leia-19 Touch"/>
      <sheetName val="BM_tha-leia-21,5 non-Touch"/>
      <sheetName val="BM_tha-leia-21,5 Touch"/>
      <sheetName val="BM_omni-view-21,5 non-Touch"/>
      <sheetName val="BM_omni-view-21,5 Touch"/>
      <sheetName val="Zubehör"/>
      <sheetName val="Pricer data"/>
      <sheetName val="Art-Liste NAVISION"/>
      <sheetName val="Product list"/>
      <sheetName val="Deckblatt"/>
      <sheetName val="AESCU.certus²"/>
      <sheetName val="PANA.ceia²"/>
      <sheetName val="THA.leia 19&quot;"/>
      <sheetName val="THA.leia 21,5&quot;"/>
      <sheetName val="OMNI.view 21,5&quot;"/>
      <sheetName val="nonMedical Display"/>
      <sheetName val="Eingabegeräte"/>
      <sheetName val="Freie_Kalkulation"/>
      <sheetName val="Ergänzung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A1" t="str">
            <v>Artikelübersicht</v>
          </cell>
        </row>
        <row r="2">
          <cell r="A2" t="str">
            <v>Nr.</v>
          </cell>
          <cell r="B2" t="str">
            <v>Beschreibung</v>
          </cell>
          <cell r="C2" t="str">
            <v>Lagerbestand</v>
          </cell>
          <cell r="D2" t="str">
            <v>EK-Preis (neuester)</v>
          </cell>
        </row>
        <row r="3">
          <cell r="A3" t="str">
            <v>060080-00</v>
          </cell>
          <cell r="B3" t="str">
            <v>KARL STORZ AIDA HD SMARTSCREEN</v>
          </cell>
          <cell r="C3">
            <v>0</v>
          </cell>
          <cell r="D3">
            <v>1571.43</v>
          </cell>
        </row>
        <row r="4">
          <cell r="A4" t="str">
            <v>063888-00_B</v>
          </cell>
          <cell r="B4" t="str">
            <v>AIDA HD Connect DIACAP with SmartScreen</v>
          </cell>
          <cell r="C4">
            <v>0</v>
          </cell>
          <cell r="D4">
            <v>1631.4</v>
          </cell>
        </row>
        <row r="5">
          <cell r="A5" t="str">
            <v>063888-00_C</v>
          </cell>
          <cell r="B5" t="str">
            <v>AIDA HD Connect DIACAP with SmartScreen</v>
          </cell>
          <cell r="C5">
            <v>0</v>
          </cell>
          <cell r="D5">
            <v>3803.77</v>
          </cell>
        </row>
        <row r="6">
          <cell r="A6" t="str">
            <v>063888-00_D</v>
          </cell>
          <cell r="B6" t="str">
            <v>AIDA HD Connect DIACAP with SmartScreen</v>
          </cell>
          <cell r="C6">
            <v>0</v>
          </cell>
          <cell r="D6">
            <v>0</v>
          </cell>
        </row>
        <row r="7">
          <cell r="A7" t="str">
            <v>063890-00_B</v>
          </cell>
          <cell r="B7" t="str">
            <v>AIDA HD Connect DIACAP without SmartScreen</v>
          </cell>
          <cell r="C7">
            <v>0</v>
          </cell>
          <cell r="D7">
            <v>0</v>
          </cell>
        </row>
        <row r="8">
          <cell r="A8">
            <v>700694</v>
          </cell>
          <cell r="B8" t="str">
            <v>TAROX WIN XS " Lifestyle" Center 2007</v>
          </cell>
          <cell r="C8">
            <v>0</v>
          </cell>
          <cell r="D8">
            <v>799</v>
          </cell>
        </row>
        <row r="9">
          <cell r="A9" t="str">
            <v>1000000M</v>
          </cell>
          <cell r="B9" t="str">
            <v>Basis Modell xd_139</v>
          </cell>
          <cell r="C9">
            <v>0</v>
          </cell>
          <cell r="D9">
            <v>61</v>
          </cell>
        </row>
        <row r="10">
          <cell r="A10" t="str">
            <v>1000001M</v>
          </cell>
          <cell r="B10" t="str">
            <v>Med. Tischnetzteil EN60601 Typ A</v>
          </cell>
          <cell r="C10">
            <v>0</v>
          </cell>
          <cell r="D10">
            <v>49.27</v>
          </cell>
        </row>
        <row r="11">
          <cell r="A11" t="str">
            <v>1000002M</v>
          </cell>
          <cell r="B11" t="str">
            <v>4fach seriell PCI, Moxa C104H/DB9</v>
          </cell>
          <cell r="C11">
            <v>0</v>
          </cell>
          <cell r="D11">
            <v>118</v>
          </cell>
        </row>
        <row r="12">
          <cell r="A12" t="str">
            <v>1000003M</v>
          </cell>
          <cell r="B12" t="str">
            <v>Tulip Direction Line SR_NH1</v>
          </cell>
          <cell r="C12">
            <v>0</v>
          </cell>
          <cell r="D12">
            <v>2939</v>
          </cell>
        </row>
        <row r="13">
          <cell r="A13" t="str">
            <v>1000004M</v>
          </cell>
          <cell r="B13" t="str">
            <v>USB Stick 512 MB mit "KARL STORZ" Logo</v>
          </cell>
          <cell r="C13">
            <v>0</v>
          </cell>
          <cell r="D13">
            <v>10.81</v>
          </cell>
        </row>
        <row r="14">
          <cell r="A14" t="str">
            <v>1000005M</v>
          </cell>
          <cell r="B14" t="str">
            <v>19" Medical LCD MQ192, VESA75</v>
          </cell>
          <cell r="C14">
            <v>0</v>
          </cell>
          <cell r="D14">
            <v>750</v>
          </cell>
        </row>
        <row r="15">
          <cell r="A15" t="str">
            <v>1000006M</v>
          </cell>
          <cell r="B15" t="str">
            <v>15" Res. Touch LCD, Med. Konform</v>
          </cell>
          <cell r="C15">
            <v>0</v>
          </cell>
          <cell r="D15">
            <v>610</v>
          </cell>
        </row>
        <row r="16">
          <cell r="A16" t="str">
            <v>1000007M</v>
          </cell>
          <cell r="B16" t="str">
            <v>Monitorfuß POS für 12"/15" LCD</v>
          </cell>
          <cell r="C16">
            <v>0</v>
          </cell>
          <cell r="D16">
            <v>50</v>
          </cell>
        </row>
        <row r="17">
          <cell r="A17" t="str">
            <v>1000008M</v>
          </cell>
          <cell r="B17" t="str">
            <v>Monitorfuß POS für 17"/19" LCD</v>
          </cell>
          <cell r="C17">
            <v>0</v>
          </cell>
          <cell r="D17">
            <v>50</v>
          </cell>
        </row>
        <row r="18">
          <cell r="A18" t="str">
            <v>1000009M</v>
          </cell>
          <cell r="B18" t="str">
            <v>Matrox ChronosPlus Framegrabber Karte</v>
          </cell>
          <cell r="C18">
            <v>0</v>
          </cell>
          <cell r="D18">
            <v>195</v>
          </cell>
        </row>
        <row r="19">
          <cell r="A19" t="str">
            <v>1000010M</v>
          </cell>
          <cell r="B19" t="str">
            <v>TP Netzwerktrennung Aufputzdose</v>
          </cell>
          <cell r="C19">
            <v>0</v>
          </cell>
          <cell r="D19">
            <v>80</v>
          </cell>
        </row>
        <row r="20">
          <cell r="A20" t="str">
            <v>1000011M</v>
          </cell>
          <cell r="B20" t="str">
            <v>Slimbook Schutzhülle Leder mit Tragegurt</v>
          </cell>
          <cell r="C20">
            <v>0</v>
          </cell>
          <cell r="D20">
            <v>39</v>
          </cell>
        </row>
        <row r="21">
          <cell r="A21" t="str">
            <v>1000012M</v>
          </cell>
          <cell r="B21" t="str">
            <v>Medical LCD PC M1.7/512MB/80GB/DVDRW</v>
          </cell>
          <cell r="C21">
            <v>0</v>
          </cell>
          <cell r="D21">
            <v>2989</v>
          </cell>
        </row>
        <row r="22">
          <cell r="A22" t="str">
            <v>1000013M</v>
          </cell>
          <cell r="B22" t="str">
            <v>IDS Falcon Framegrabber Karte 3.0, PCI</v>
          </cell>
          <cell r="C22">
            <v>0</v>
          </cell>
          <cell r="D22">
            <v>193.1</v>
          </cell>
        </row>
        <row r="23">
          <cell r="A23" t="str">
            <v>1000014M</v>
          </cell>
          <cell r="B23" t="str">
            <v>Adapter DB25 =&gt; SVHS Mini DIN</v>
          </cell>
          <cell r="C23">
            <v>0</v>
          </cell>
          <cell r="D23">
            <v>35</v>
          </cell>
        </row>
        <row r="24">
          <cell r="A24" t="str">
            <v>1000015M</v>
          </cell>
          <cell r="B24" t="str">
            <v>Tulip Medical Desktop MPD-1000 schwarz</v>
          </cell>
          <cell r="C24">
            <v>0</v>
          </cell>
          <cell r="D24">
            <v>940</v>
          </cell>
        </row>
        <row r="25">
          <cell r="A25" t="str">
            <v>1000016M</v>
          </cell>
          <cell r="B25" t="str">
            <v>SlimBook P120 mit Touchscreen, Centrino 1.5 GHz</v>
          </cell>
          <cell r="C25">
            <v>0</v>
          </cell>
          <cell r="D25">
            <v>1489</v>
          </cell>
        </row>
        <row r="26">
          <cell r="A26" t="str">
            <v>1000017M</v>
          </cell>
          <cell r="B26" t="str">
            <v>Adapter Slim-CD =&gt; IDE40</v>
          </cell>
          <cell r="C26">
            <v>0</v>
          </cell>
          <cell r="D26">
            <v>15</v>
          </cell>
        </row>
        <row r="27">
          <cell r="A27" t="str">
            <v>1000018M</v>
          </cell>
          <cell r="B27" t="str">
            <v>Tulip Medical MPM 900 3.4GHz/512MB/200GB/Combo/XP</v>
          </cell>
          <cell r="C27">
            <v>0</v>
          </cell>
          <cell r="D27">
            <v>423.25</v>
          </cell>
        </row>
        <row r="28">
          <cell r="A28" t="str">
            <v>1000019M</v>
          </cell>
          <cell r="B28" t="str">
            <v>Karl Storz OR1 control</v>
          </cell>
          <cell r="C28">
            <v>0</v>
          </cell>
          <cell r="D28">
            <v>777</v>
          </cell>
        </row>
        <row r="29">
          <cell r="A29" t="str">
            <v>1000020M</v>
          </cell>
          <cell r="B29" t="str">
            <v>Slimbook A100 Tablet PC mit Digitizer, 1 GHz</v>
          </cell>
          <cell r="C29">
            <v>0</v>
          </cell>
          <cell r="D29">
            <v>1329</v>
          </cell>
        </row>
        <row r="30">
          <cell r="A30" t="str">
            <v>1000021M</v>
          </cell>
          <cell r="B30" t="str">
            <v>Slimbook A110 Tablet PC Centrino 1.3 GHz</v>
          </cell>
          <cell r="C30">
            <v>0</v>
          </cell>
          <cell r="D30">
            <v>1578</v>
          </cell>
        </row>
        <row r="31">
          <cell r="A31" t="str">
            <v>1000022M</v>
          </cell>
          <cell r="B31" t="str">
            <v>Systemboard TP128, Shuttle AE23V11</v>
          </cell>
          <cell r="C31">
            <v>0</v>
          </cell>
          <cell r="D31">
            <v>75</v>
          </cell>
        </row>
        <row r="32">
          <cell r="A32" t="str">
            <v>1000023M</v>
          </cell>
          <cell r="B32" t="str">
            <v>Systemboard TP110</v>
          </cell>
          <cell r="C32">
            <v>0</v>
          </cell>
          <cell r="D32">
            <v>75</v>
          </cell>
        </row>
        <row r="33">
          <cell r="A33" t="str">
            <v>1000024M</v>
          </cell>
          <cell r="B33" t="str">
            <v>Systemboard TP126, Shuttle AV18V31</v>
          </cell>
          <cell r="C33">
            <v>0</v>
          </cell>
          <cell r="D33">
            <v>75</v>
          </cell>
        </row>
        <row r="34">
          <cell r="A34" t="str">
            <v>1000025M</v>
          </cell>
          <cell r="B34" t="str">
            <v>Systemboard TS150, Intel SCB2 SCSI</v>
          </cell>
          <cell r="C34">
            <v>0</v>
          </cell>
          <cell r="D34">
            <v>0</v>
          </cell>
        </row>
        <row r="35">
          <cell r="A35" t="str">
            <v>1000026M</v>
          </cell>
          <cell r="B35" t="str">
            <v>Systemboard TP106</v>
          </cell>
          <cell r="C35">
            <v>0</v>
          </cell>
          <cell r="D35">
            <v>75</v>
          </cell>
        </row>
        <row r="36">
          <cell r="A36" t="str">
            <v>1000027M</v>
          </cell>
          <cell r="B36" t="str">
            <v>Galvanisch getrenntes USB1.1 Interface</v>
          </cell>
          <cell r="C36">
            <v>0</v>
          </cell>
          <cell r="D36">
            <v>253.98</v>
          </cell>
        </row>
        <row r="37">
          <cell r="A37" t="str">
            <v>1000028M</v>
          </cell>
          <cell r="B37" t="str">
            <v>MEM 256 MB SDRAM</v>
          </cell>
          <cell r="C37">
            <v>0</v>
          </cell>
          <cell r="D37">
            <v>0</v>
          </cell>
        </row>
        <row r="38">
          <cell r="A38" t="str">
            <v>1000029M</v>
          </cell>
          <cell r="B38" t="str">
            <v>MEM 128 MB SDRAM</v>
          </cell>
          <cell r="C38">
            <v>0</v>
          </cell>
          <cell r="D38">
            <v>0</v>
          </cell>
        </row>
        <row r="39">
          <cell r="A39" t="str">
            <v>1000030M</v>
          </cell>
          <cell r="B39" t="str">
            <v>CPU Intel PIII 1 GHz 256KB/133</v>
          </cell>
          <cell r="C39">
            <v>0</v>
          </cell>
          <cell r="D39">
            <v>0</v>
          </cell>
        </row>
        <row r="40">
          <cell r="A40" t="str">
            <v>1000031M</v>
          </cell>
          <cell r="B40" t="str">
            <v>CPU Intel PIII 1.13 GHz 512KB/133</v>
          </cell>
          <cell r="C40">
            <v>0</v>
          </cell>
          <cell r="D40">
            <v>0</v>
          </cell>
        </row>
        <row r="41">
          <cell r="A41" t="str">
            <v>1000032M</v>
          </cell>
          <cell r="B41" t="str">
            <v>CPU Intel PIV 1.7 GHz</v>
          </cell>
          <cell r="C41">
            <v>0</v>
          </cell>
          <cell r="D41">
            <v>0</v>
          </cell>
        </row>
        <row r="42">
          <cell r="A42" t="str">
            <v>1000033M</v>
          </cell>
          <cell r="B42" t="str">
            <v>CPU Intel PIV 2.4 GHz</v>
          </cell>
          <cell r="C42">
            <v>0</v>
          </cell>
          <cell r="D42">
            <v>0</v>
          </cell>
        </row>
        <row r="43">
          <cell r="A43" t="str">
            <v>1000034M</v>
          </cell>
          <cell r="B43" t="str">
            <v>MEM 256 MB DDR RAM</v>
          </cell>
          <cell r="C43">
            <v>0</v>
          </cell>
          <cell r="D43">
            <v>30</v>
          </cell>
        </row>
        <row r="44">
          <cell r="A44" t="str">
            <v>1000035M</v>
          </cell>
          <cell r="B44" t="str">
            <v>Toshiba DVD ROM SD-M1802</v>
          </cell>
          <cell r="C44">
            <v>0</v>
          </cell>
          <cell r="D44">
            <v>8</v>
          </cell>
        </row>
        <row r="45">
          <cell r="A45" t="str">
            <v>1000036M</v>
          </cell>
          <cell r="B45" t="str">
            <v>AOpen VGA AGP PA3000+</v>
          </cell>
          <cell r="C45">
            <v>0</v>
          </cell>
          <cell r="D45">
            <v>20</v>
          </cell>
        </row>
        <row r="46">
          <cell r="A46" t="str">
            <v>1000037M</v>
          </cell>
          <cell r="B46" t="str">
            <v>Storz Medical LCD PC M1.7/512MB/80GB/DVDRW</v>
          </cell>
          <cell r="C46">
            <v>1</v>
          </cell>
          <cell r="D46">
            <v>2989</v>
          </cell>
        </row>
        <row r="47">
          <cell r="A47" t="str">
            <v>1000038M</v>
          </cell>
          <cell r="B47" t="str">
            <v>Systemboard Intel SHG2</v>
          </cell>
          <cell r="C47">
            <v>0</v>
          </cell>
          <cell r="D47">
            <v>0</v>
          </cell>
        </row>
        <row r="48">
          <cell r="A48" t="str">
            <v>1000039M</v>
          </cell>
          <cell r="B48" t="str">
            <v>Tulip Medical MPM 900 3.8GHz/512MB/300GB/DVD/DVDRW</v>
          </cell>
          <cell r="C48">
            <v>0</v>
          </cell>
          <cell r="D48">
            <v>401.94</v>
          </cell>
        </row>
        <row r="49">
          <cell r="A49" t="str">
            <v>1000040M</v>
          </cell>
          <cell r="B49" t="str">
            <v>Tischnetzteil IEC601-1/EN60 601</v>
          </cell>
          <cell r="C49">
            <v>0</v>
          </cell>
          <cell r="D49">
            <v>59</v>
          </cell>
        </row>
        <row r="50">
          <cell r="A50" t="str">
            <v>1000041M</v>
          </cell>
          <cell r="B50" t="str">
            <v>Slimbook Stylus Touch Pen für P100/P110/P120</v>
          </cell>
          <cell r="C50">
            <v>0</v>
          </cell>
          <cell r="D50">
            <v>2.5</v>
          </cell>
        </row>
        <row r="51">
          <cell r="A51" t="str">
            <v>1000042M</v>
          </cell>
          <cell r="B51" t="str">
            <v>Slimbook Batterie Pack Li-Ion für 110/120, weiß</v>
          </cell>
          <cell r="C51">
            <v>0</v>
          </cell>
          <cell r="D51">
            <v>59</v>
          </cell>
        </row>
        <row r="52">
          <cell r="A52" t="str">
            <v>1000043M</v>
          </cell>
          <cell r="B52" t="str">
            <v>Toshiba DVD±RW SD-R5472</v>
          </cell>
          <cell r="C52">
            <v>0</v>
          </cell>
          <cell r="D52">
            <v>35</v>
          </cell>
        </row>
        <row r="53">
          <cell r="A53" t="str">
            <v>1000044M</v>
          </cell>
          <cell r="B53" t="str">
            <v>15" non medical LCD MQ215, Standfuß</v>
          </cell>
          <cell r="C53">
            <v>0</v>
          </cell>
          <cell r="D53">
            <v>395</v>
          </cell>
        </row>
        <row r="54">
          <cell r="A54" t="str">
            <v>1000045M</v>
          </cell>
          <cell r="B54" t="str">
            <v>Basis Modell CT139</v>
          </cell>
          <cell r="C54">
            <v>0</v>
          </cell>
          <cell r="D54">
            <v>103.7</v>
          </cell>
        </row>
        <row r="55">
          <cell r="A55" t="str">
            <v>1000046M</v>
          </cell>
          <cell r="B55" t="str">
            <v>17" LCD MQ172, Executive, VGA Analog</v>
          </cell>
          <cell r="C55">
            <v>0</v>
          </cell>
          <cell r="D55">
            <v>450</v>
          </cell>
        </row>
        <row r="56">
          <cell r="A56" t="str">
            <v>1000047M</v>
          </cell>
          <cell r="B56" t="str">
            <v>Slimbook Aufpreis 512MB anstelle 256MB DDR-RAM</v>
          </cell>
          <cell r="C56">
            <v>0</v>
          </cell>
          <cell r="D56">
            <v>65</v>
          </cell>
        </row>
        <row r="57">
          <cell r="A57" t="str">
            <v>1000048M</v>
          </cell>
          <cell r="B57" t="str">
            <v>Slimbook Pickupverlängerung auf 36 Monate</v>
          </cell>
          <cell r="C57">
            <v>0</v>
          </cell>
          <cell r="D57">
            <v>75</v>
          </cell>
        </row>
        <row r="58">
          <cell r="A58" t="str">
            <v>1000049M</v>
          </cell>
          <cell r="B58" t="str">
            <v>Slimbook Schutzhülle Gummi für A&amp;P110/120</v>
          </cell>
          <cell r="C58">
            <v>0</v>
          </cell>
          <cell r="D58">
            <v>25</v>
          </cell>
        </row>
        <row r="59">
          <cell r="A59" t="str">
            <v>1000050M</v>
          </cell>
          <cell r="B59" t="str">
            <v>Tulip Direction Line IR SCE</v>
          </cell>
          <cell r="C59">
            <v>0</v>
          </cell>
          <cell r="D59">
            <v>975</v>
          </cell>
        </row>
        <row r="60">
          <cell r="A60" t="str">
            <v>1000051M</v>
          </cell>
          <cell r="B60" t="str">
            <v>Tulip Medical MPM 800 3.0GHz/512MB/40GB/DVD/XP</v>
          </cell>
          <cell r="C60">
            <v>0</v>
          </cell>
          <cell r="D60">
            <v>675</v>
          </cell>
        </row>
        <row r="61">
          <cell r="A61" t="str">
            <v>1000052M</v>
          </cell>
          <cell r="B61" t="str">
            <v>Tulip Medical Desktop MPD-1000 schwarz</v>
          </cell>
          <cell r="C61">
            <v>0</v>
          </cell>
          <cell r="D61">
            <v>915</v>
          </cell>
        </row>
        <row r="62">
          <cell r="A62" t="str">
            <v>1000053M</v>
          </cell>
          <cell r="B62" t="str">
            <v>Tulip Action Line tm "Special im März"</v>
          </cell>
          <cell r="C62">
            <v>0</v>
          </cell>
          <cell r="D62">
            <v>457.5</v>
          </cell>
        </row>
        <row r="63">
          <cell r="A63" t="str">
            <v>1000054M</v>
          </cell>
          <cell r="B63" t="str">
            <v>15" Medical LCD MQ215, Standfuß, EN60601</v>
          </cell>
          <cell r="C63">
            <v>0</v>
          </cell>
          <cell r="D63">
            <v>460</v>
          </cell>
        </row>
        <row r="64">
          <cell r="A64" t="str">
            <v>1000055M</v>
          </cell>
          <cell r="B64" t="str">
            <v>15" Medical LCD MQ215, VESA, EN60601</v>
          </cell>
          <cell r="C64">
            <v>0</v>
          </cell>
          <cell r="D64">
            <v>440</v>
          </cell>
        </row>
        <row r="65">
          <cell r="A65" t="str">
            <v>1000056M</v>
          </cell>
          <cell r="B65" t="str">
            <v>19" Medical LCD MQ219, Standfuß, EN60601</v>
          </cell>
          <cell r="C65">
            <v>0</v>
          </cell>
          <cell r="D65">
            <v>589.26</v>
          </cell>
        </row>
        <row r="66">
          <cell r="A66" t="str">
            <v>1000057M</v>
          </cell>
          <cell r="B66" t="str">
            <v>19" Medical LCD MQ219, VESA, EN60601</v>
          </cell>
          <cell r="C66">
            <v>0</v>
          </cell>
          <cell r="D66">
            <v>559.95000000000005</v>
          </cell>
        </row>
        <row r="67">
          <cell r="A67" t="str">
            <v>1000058M</v>
          </cell>
          <cell r="B67" t="str">
            <v>MCD Vision Line XM-ISA</v>
          </cell>
          <cell r="C67">
            <v>0</v>
          </cell>
          <cell r="D67">
            <v>595</v>
          </cell>
        </row>
        <row r="68">
          <cell r="A68" t="str">
            <v>1000059M</v>
          </cell>
          <cell r="B68" t="str">
            <v>15" ser. Touch Medical LCD MQ215, VESA, EN60601</v>
          </cell>
          <cell r="C68">
            <v>0</v>
          </cell>
          <cell r="D68">
            <v>571</v>
          </cell>
        </row>
        <row r="69">
          <cell r="A69" t="str">
            <v>1000060M</v>
          </cell>
          <cell r="B69" t="str">
            <v>15" ser. Touch Medical LCD MQ215, Standfuß,EN60601</v>
          </cell>
          <cell r="C69">
            <v>0</v>
          </cell>
          <cell r="D69">
            <v>592</v>
          </cell>
        </row>
        <row r="70">
          <cell r="A70" t="str">
            <v>1000061M</v>
          </cell>
          <cell r="B70" t="str">
            <v>19" Medical LCD MQ192, Standfuß</v>
          </cell>
          <cell r="C70">
            <v>0</v>
          </cell>
          <cell r="D70">
            <v>850</v>
          </cell>
        </row>
        <row r="71">
          <cell r="A71" t="str">
            <v>1000062M</v>
          </cell>
          <cell r="B71" t="str">
            <v>Tulip Action Line MDHI-915 3.0/512/80SATA/DVD/XPP</v>
          </cell>
          <cell r="C71">
            <v>0</v>
          </cell>
          <cell r="D71">
            <v>505</v>
          </cell>
        </row>
        <row r="72">
          <cell r="A72" t="str">
            <v>1000063M</v>
          </cell>
          <cell r="B72" t="str">
            <v>IDS Falcon Framegrabber Karte, Low-Profile</v>
          </cell>
          <cell r="C72">
            <v>0</v>
          </cell>
          <cell r="D72">
            <v>199</v>
          </cell>
        </row>
        <row r="73">
          <cell r="A73" t="str">
            <v>1000064M</v>
          </cell>
          <cell r="B73" t="str">
            <v>MR-1100</v>
          </cell>
          <cell r="C73">
            <v>0</v>
          </cell>
          <cell r="D73">
            <v>855</v>
          </cell>
        </row>
        <row r="74">
          <cell r="A74" t="str">
            <v>1000065M</v>
          </cell>
          <cell r="B74" t="str">
            <v>15" Medical LCD MQ156E, Standfuß</v>
          </cell>
          <cell r="C74">
            <v>0</v>
          </cell>
          <cell r="D74">
            <v>490</v>
          </cell>
        </row>
        <row r="75">
          <cell r="A75" t="str">
            <v>1000066M</v>
          </cell>
          <cell r="B75" t="str">
            <v>Tulip Direction Line IR JR2SCSI</v>
          </cell>
          <cell r="C75">
            <v>0</v>
          </cell>
          <cell r="D75">
            <v>1825</v>
          </cell>
        </row>
        <row r="76">
          <cell r="A76" t="str">
            <v>1000067M</v>
          </cell>
          <cell r="B76" t="str">
            <v>Tulip Action Line MDHI-915 3.0/512/80SATA/DVDRW/XP</v>
          </cell>
          <cell r="C76">
            <v>0</v>
          </cell>
          <cell r="D76">
            <v>550</v>
          </cell>
        </row>
        <row r="77">
          <cell r="A77" t="str">
            <v>1000068M</v>
          </cell>
          <cell r="B77" t="str">
            <v>USB Stick 256 MB mit "KARL STORZ" Logo</v>
          </cell>
          <cell r="C77">
            <v>0</v>
          </cell>
          <cell r="D77">
            <v>11.5</v>
          </cell>
        </row>
        <row r="78">
          <cell r="A78" t="str">
            <v>1000069M</v>
          </cell>
          <cell r="B78" t="str">
            <v>Tischnetzteil IEC601-1/EN60 601</v>
          </cell>
          <cell r="C78">
            <v>0</v>
          </cell>
          <cell r="D78">
            <v>48.3</v>
          </cell>
        </row>
        <row r="79">
          <cell r="A79" t="str">
            <v>1000070M</v>
          </cell>
          <cell r="B79" t="str">
            <v>15" non medical LCD MQ215, VESA</v>
          </cell>
          <cell r="C79">
            <v>0</v>
          </cell>
          <cell r="D79">
            <v>375</v>
          </cell>
        </row>
        <row r="80">
          <cell r="A80" t="str">
            <v>1000071M</v>
          </cell>
          <cell r="B80" t="str">
            <v>Med. Tischnetzteil EN60601 für MQ-Serie</v>
          </cell>
          <cell r="C80">
            <v>0</v>
          </cell>
          <cell r="D80">
            <v>52.97</v>
          </cell>
        </row>
        <row r="81">
          <cell r="A81" t="str">
            <v>1000072M</v>
          </cell>
          <cell r="B81" t="str">
            <v>LCD Power Adapter Anschlusskabel für MQ-Serie</v>
          </cell>
          <cell r="C81">
            <v>0</v>
          </cell>
          <cell r="D81">
            <v>15.97</v>
          </cell>
        </row>
        <row r="82">
          <cell r="A82" t="str">
            <v>1000073M</v>
          </cell>
          <cell r="B82" t="str">
            <v>Serielle Galvanische Trennung EN60601</v>
          </cell>
          <cell r="C82">
            <v>0</v>
          </cell>
          <cell r="D82">
            <v>152</v>
          </cell>
        </row>
        <row r="83">
          <cell r="A83" t="str">
            <v>1000074M</v>
          </cell>
          <cell r="B83" t="str">
            <v>Tulip Medical Deskside MPM-1000</v>
          </cell>
          <cell r="C83">
            <v>0</v>
          </cell>
          <cell r="D83">
            <v>725</v>
          </cell>
        </row>
        <row r="84">
          <cell r="A84" t="str">
            <v>1000075M</v>
          </cell>
          <cell r="B84" t="str">
            <v>Tulip Direction Line 1HE Intel P4</v>
          </cell>
          <cell r="C84">
            <v>0</v>
          </cell>
          <cell r="D84">
            <v>1693.5</v>
          </cell>
        </row>
        <row r="85">
          <cell r="A85" t="str">
            <v>1000076M</v>
          </cell>
          <cell r="B85" t="str">
            <v>Tulip Medical Desktop MPD-1100 schwarz</v>
          </cell>
          <cell r="C85">
            <v>0</v>
          </cell>
          <cell r="D85">
            <v>830</v>
          </cell>
        </row>
        <row r="86">
          <cell r="A86" t="str">
            <v>1000077M</v>
          </cell>
          <cell r="B86" t="str">
            <v>Tulip Medical Desktop MPD-1100 schwarz</v>
          </cell>
          <cell r="C86">
            <v>0</v>
          </cell>
          <cell r="D86">
            <v>820</v>
          </cell>
        </row>
        <row r="87">
          <cell r="A87" t="str">
            <v>1000078M</v>
          </cell>
          <cell r="B87" t="str">
            <v>Tastatur InduProof 2, deutsch, hellgrün, USB</v>
          </cell>
          <cell r="C87">
            <v>0</v>
          </cell>
          <cell r="D87">
            <v>149.18</v>
          </cell>
        </row>
        <row r="88">
          <cell r="A88" t="str">
            <v>1000079M</v>
          </cell>
          <cell r="B88" t="str">
            <v>Maus InduMouse, hellgrün, optical, USB</v>
          </cell>
          <cell r="C88">
            <v>0</v>
          </cell>
          <cell r="D88">
            <v>78.400000000000006</v>
          </cell>
        </row>
        <row r="89">
          <cell r="A89" t="str">
            <v>1000080M</v>
          </cell>
          <cell r="B89" t="str">
            <v>Medical Desktop MPD-1100 schwarz</v>
          </cell>
          <cell r="C89">
            <v>0</v>
          </cell>
          <cell r="D89">
            <v>880</v>
          </cell>
        </row>
        <row r="90">
          <cell r="A90" t="str">
            <v>1000081M</v>
          </cell>
          <cell r="B90" t="str">
            <v>Netzwerktrennung mit UL-Zulassung (Aufputzdose)</v>
          </cell>
          <cell r="C90">
            <v>0</v>
          </cell>
          <cell r="D90">
            <v>96.9</v>
          </cell>
        </row>
        <row r="91">
          <cell r="A91" t="str">
            <v>1000082M</v>
          </cell>
          <cell r="B91" t="str">
            <v>Medical Deskside MPM-1000</v>
          </cell>
          <cell r="C91">
            <v>0</v>
          </cell>
          <cell r="D91">
            <v>813</v>
          </cell>
        </row>
        <row r="92">
          <cell r="A92" t="str">
            <v>1000084M</v>
          </cell>
          <cell r="B92" t="str">
            <v>Tulip Action Line XM-151</v>
          </cell>
          <cell r="C92">
            <v>0</v>
          </cell>
          <cell r="D92">
            <v>329</v>
          </cell>
        </row>
        <row r="93">
          <cell r="A93" t="str">
            <v>1000085M</v>
          </cell>
          <cell r="B93" t="str">
            <v>MCD xm-151</v>
          </cell>
          <cell r="C93">
            <v>0</v>
          </cell>
          <cell r="D93">
            <v>426</v>
          </cell>
        </row>
        <row r="94">
          <cell r="A94" t="str">
            <v>1000086M</v>
          </cell>
          <cell r="B94" t="str">
            <v>Tulip Action Line ER</v>
          </cell>
          <cell r="C94">
            <v>0</v>
          </cell>
          <cell r="D94">
            <v>985</v>
          </cell>
        </row>
        <row r="95">
          <cell r="A95" t="str">
            <v>1000087M</v>
          </cell>
          <cell r="B95" t="str">
            <v>Medical Desktop MPD-1100 beige</v>
          </cell>
          <cell r="C95">
            <v>0</v>
          </cell>
          <cell r="D95">
            <v>850</v>
          </cell>
        </row>
        <row r="96">
          <cell r="A96" t="str">
            <v>1000088M</v>
          </cell>
          <cell r="B96" t="str">
            <v>Tulip Action Line XD-945</v>
          </cell>
          <cell r="C96">
            <v>0</v>
          </cell>
          <cell r="D96">
            <v>678</v>
          </cell>
        </row>
        <row r="97">
          <cell r="A97" t="str">
            <v>1000089M</v>
          </cell>
          <cell r="B97" t="str">
            <v>Tulip Medical MPM 900 3.0GHz/1GB/80GB/DVD/XP</v>
          </cell>
          <cell r="C97">
            <v>0</v>
          </cell>
          <cell r="D97">
            <v>629</v>
          </cell>
        </row>
        <row r="98">
          <cell r="A98" t="str">
            <v>1000090M</v>
          </cell>
          <cell r="B98" t="str">
            <v>Condor Schaltnetzteil für LCD-PC</v>
          </cell>
          <cell r="C98">
            <v>0</v>
          </cell>
          <cell r="D98">
            <v>151.6</v>
          </cell>
        </row>
        <row r="99">
          <cell r="A99" t="str">
            <v>1000091M</v>
          </cell>
          <cell r="B99" t="str">
            <v>Silent Server MR-1100</v>
          </cell>
          <cell r="C99">
            <v>0</v>
          </cell>
          <cell r="D99">
            <v>914</v>
          </cell>
        </row>
        <row r="100">
          <cell r="A100" t="str">
            <v>1000092M</v>
          </cell>
          <cell r="B100" t="str">
            <v>MCD Vision Line cr</v>
          </cell>
          <cell r="C100">
            <v>0</v>
          </cell>
          <cell r="D100">
            <v>2970</v>
          </cell>
        </row>
        <row r="101">
          <cell r="A101" t="str">
            <v>1000093M</v>
          </cell>
          <cell r="B101" t="str">
            <v>Vision Line dr</v>
          </cell>
          <cell r="C101">
            <v>0</v>
          </cell>
          <cell r="D101">
            <v>3150</v>
          </cell>
        </row>
        <row r="102">
          <cell r="A102" t="str">
            <v>1000094M</v>
          </cell>
          <cell r="B102" t="str">
            <v>MCD Vision Line 1HE</v>
          </cell>
          <cell r="C102">
            <v>0</v>
          </cell>
          <cell r="D102">
            <v>1655</v>
          </cell>
        </row>
        <row r="103">
          <cell r="A103" t="str">
            <v>1000095M</v>
          </cell>
          <cell r="B103" t="str">
            <v>Vision-Line Notebook Special</v>
          </cell>
          <cell r="C103">
            <v>0</v>
          </cell>
          <cell r="D103">
            <v>639</v>
          </cell>
        </row>
        <row r="104">
          <cell r="A104" t="str">
            <v>1000096M</v>
          </cell>
          <cell r="B104" t="str">
            <v>Vision Line dr</v>
          </cell>
          <cell r="C104">
            <v>0</v>
          </cell>
          <cell r="D104">
            <v>4350</v>
          </cell>
        </row>
        <row r="105">
          <cell r="A105" t="str">
            <v>1000097M</v>
          </cell>
          <cell r="B105" t="str">
            <v>Action Line XD-945</v>
          </cell>
          <cell r="C105">
            <v>0</v>
          </cell>
          <cell r="D105">
            <v>635</v>
          </cell>
        </row>
        <row r="106">
          <cell r="A106" t="str">
            <v>1000098M</v>
          </cell>
          <cell r="B106" t="str">
            <v>Systemboard Kontron 986LCD-M/Flex RoHs</v>
          </cell>
          <cell r="C106">
            <v>0</v>
          </cell>
          <cell r="D106">
            <v>203</v>
          </cell>
        </row>
        <row r="107">
          <cell r="A107" t="str">
            <v>1000099M</v>
          </cell>
          <cell r="B107" t="str">
            <v>Intel Core Duo 2.0 T2500 2MB FSB667 embedded</v>
          </cell>
          <cell r="C107">
            <v>0</v>
          </cell>
          <cell r="D107">
            <v>241</v>
          </cell>
        </row>
        <row r="108">
          <cell r="A108" t="str">
            <v>1000100M</v>
          </cell>
          <cell r="B108" t="str">
            <v>MCD Silent Server SR-1100</v>
          </cell>
          <cell r="C108">
            <v>0</v>
          </cell>
          <cell r="D108">
            <v>890</v>
          </cell>
        </row>
        <row r="109">
          <cell r="A109" t="str">
            <v>1000102M</v>
          </cell>
          <cell r="B109" t="str">
            <v>Medical Projektor LM-X25</v>
          </cell>
          <cell r="C109">
            <v>0</v>
          </cell>
          <cell r="D109">
            <v>4250</v>
          </cell>
        </row>
        <row r="110">
          <cell r="A110" t="str">
            <v>1000103M</v>
          </cell>
          <cell r="B110" t="str">
            <v>Karl Storz - SAMPLE</v>
          </cell>
          <cell r="C110">
            <v>0</v>
          </cell>
          <cell r="D110">
            <v>1050</v>
          </cell>
        </row>
        <row r="111">
          <cell r="A111" t="str">
            <v>1000104M</v>
          </cell>
          <cell r="B111" t="str">
            <v>Gehäuselüfter Aida/OR1 control</v>
          </cell>
          <cell r="C111">
            <v>0</v>
          </cell>
          <cell r="D111">
            <v>5</v>
          </cell>
        </row>
        <row r="112">
          <cell r="A112" t="str">
            <v>1000105M</v>
          </cell>
          <cell r="B112" t="str">
            <v>LED-Frontplatine Aida/OR1 control</v>
          </cell>
          <cell r="C112">
            <v>0</v>
          </cell>
          <cell r="D112">
            <v>12.35</v>
          </cell>
        </row>
        <row r="113">
          <cell r="A113" t="str">
            <v>1000106M</v>
          </cell>
          <cell r="B113" t="str">
            <v>HYUNDAI LCD-TV L17T 17" schwarz</v>
          </cell>
          <cell r="C113">
            <v>0</v>
          </cell>
          <cell r="D113">
            <v>199</v>
          </cell>
        </row>
        <row r="114">
          <cell r="A114" t="str">
            <v>1000107M</v>
          </cell>
          <cell r="B114" t="str">
            <v>MCD bt-151 Special</v>
          </cell>
          <cell r="C114">
            <v>0</v>
          </cell>
          <cell r="D114">
            <v>400</v>
          </cell>
        </row>
        <row r="115">
          <cell r="A115" t="str">
            <v>1000108M</v>
          </cell>
          <cell r="B115" t="str">
            <v>MCD Medical Desktop "Lüfterlos"</v>
          </cell>
          <cell r="C115">
            <v>0</v>
          </cell>
          <cell r="D115">
            <v>1170</v>
          </cell>
        </row>
        <row r="116">
          <cell r="A116" t="str">
            <v>1000109M</v>
          </cell>
          <cell r="B116" t="str">
            <v>IP68 - Tastatur USB PS/2 381x140x15,3mm; ca. 780g</v>
          </cell>
          <cell r="C116">
            <v>0</v>
          </cell>
          <cell r="D116">
            <v>89.6</v>
          </cell>
        </row>
        <row r="117">
          <cell r="A117" t="str">
            <v>1000110M</v>
          </cell>
          <cell r="B117" t="str">
            <v>GETT IP68 - Maus USB</v>
          </cell>
          <cell r="C117">
            <v>0</v>
          </cell>
          <cell r="D117">
            <v>89.6</v>
          </cell>
        </row>
        <row r="118">
          <cell r="A118" t="str">
            <v>1000111M</v>
          </cell>
          <cell r="B118" t="str">
            <v>Systemboard Kontron KT965/Flex</v>
          </cell>
          <cell r="C118">
            <v>0</v>
          </cell>
          <cell r="D118">
            <v>280</v>
          </cell>
        </row>
        <row r="119">
          <cell r="A119" t="str">
            <v>1000112M</v>
          </cell>
          <cell r="B119" t="str">
            <v>Riser-Card RC-PCI2-32VIA</v>
          </cell>
          <cell r="C119">
            <v>0</v>
          </cell>
          <cell r="D119">
            <v>21.28</v>
          </cell>
        </row>
        <row r="120">
          <cell r="A120" t="str">
            <v>1000113M</v>
          </cell>
          <cell r="B120" t="str">
            <v>DVD Multi Writer AD-7630A Optiarc</v>
          </cell>
          <cell r="C120">
            <v>0</v>
          </cell>
          <cell r="D120">
            <v>70.44</v>
          </cell>
        </row>
        <row r="121">
          <cell r="A121" t="str">
            <v>1000114M</v>
          </cell>
          <cell r="B121" t="str">
            <v>Frontblende für mpd-100 SONY</v>
          </cell>
          <cell r="C121">
            <v>0</v>
          </cell>
          <cell r="D121">
            <v>172</v>
          </cell>
        </row>
        <row r="122">
          <cell r="A122" t="str">
            <v>1000115M</v>
          </cell>
          <cell r="B122" t="str">
            <v>100 GB SATA Festplatte 2.5", 7.200 rpm, 24x7</v>
          </cell>
          <cell r="C122">
            <v>0</v>
          </cell>
          <cell r="D122">
            <v>109</v>
          </cell>
        </row>
        <row r="123">
          <cell r="A123" t="str">
            <v>1000116M</v>
          </cell>
          <cell r="B123" t="str">
            <v>USB Stick 1 GB mit "KARL STORZ" Logo</v>
          </cell>
          <cell r="C123">
            <v>0</v>
          </cell>
          <cell r="D123">
            <v>0</v>
          </cell>
        </row>
        <row r="124">
          <cell r="A124" t="str">
            <v>1000117M</v>
          </cell>
          <cell r="B124" t="str">
            <v>Systemboard Kontron 986LCD-M/mITX</v>
          </cell>
          <cell r="C124">
            <v>0</v>
          </cell>
          <cell r="D124">
            <v>189</v>
          </cell>
        </row>
        <row r="125">
          <cell r="A125" t="str">
            <v>1000118M</v>
          </cell>
          <cell r="B125" t="str">
            <v>DVI PCI-E Karte für Dual-Display Betrieb</v>
          </cell>
          <cell r="C125">
            <v>0</v>
          </cell>
          <cell r="D125">
            <v>15.03</v>
          </cell>
        </row>
        <row r="126">
          <cell r="A126" t="str">
            <v>1000119M</v>
          </cell>
          <cell r="B126" t="str">
            <v>Fujitsu FI 5110-C Scanner Bundle</v>
          </cell>
          <cell r="C126">
            <v>0</v>
          </cell>
          <cell r="D126">
            <v>449</v>
          </cell>
        </row>
        <row r="127">
          <cell r="A127" t="str">
            <v>1000120M</v>
          </cell>
          <cell r="B127" t="str">
            <v>Ergotron Neo-Flex Tastaturhalterung</v>
          </cell>
          <cell r="C127">
            <v>0</v>
          </cell>
          <cell r="D127">
            <v>272.8</v>
          </cell>
        </row>
        <row r="128">
          <cell r="A128" t="str">
            <v>1000121M</v>
          </cell>
          <cell r="B128" t="str">
            <v>Ergotron WM Wandhalterung</v>
          </cell>
          <cell r="C128">
            <v>0</v>
          </cell>
          <cell r="D128">
            <v>55</v>
          </cell>
        </row>
        <row r="129">
          <cell r="A129" t="str">
            <v>1000122M</v>
          </cell>
          <cell r="B129" t="str">
            <v>Ergotron Serie 100 Gelenk</v>
          </cell>
          <cell r="C129">
            <v>0</v>
          </cell>
          <cell r="D129">
            <v>35.1</v>
          </cell>
        </row>
        <row r="130">
          <cell r="A130" t="str">
            <v>1000123M</v>
          </cell>
          <cell r="B130" t="str">
            <v>Ergotron Befestigungssatz für Serie 100</v>
          </cell>
          <cell r="C130">
            <v>0</v>
          </cell>
          <cell r="D130">
            <v>21.4</v>
          </cell>
        </row>
        <row r="131">
          <cell r="A131" t="str">
            <v>1000124M</v>
          </cell>
          <cell r="B131" t="str">
            <v>Ergotron Wandschiene 34"</v>
          </cell>
          <cell r="C131">
            <v>0</v>
          </cell>
          <cell r="D131">
            <v>61.5</v>
          </cell>
        </row>
        <row r="132">
          <cell r="A132" t="str">
            <v>1000125M</v>
          </cell>
          <cell r="B132" t="str">
            <v>GETT IP68 - Maus</v>
          </cell>
          <cell r="C132">
            <v>0</v>
          </cell>
          <cell r="D132">
            <v>76.05</v>
          </cell>
        </row>
        <row r="133">
          <cell r="A133" t="str">
            <v>1000126M</v>
          </cell>
          <cell r="B133" t="str">
            <v>GETT IP65 Folien-Tastatur</v>
          </cell>
          <cell r="C133">
            <v>0</v>
          </cell>
          <cell r="D133">
            <v>135.25</v>
          </cell>
        </row>
        <row r="134">
          <cell r="A134" t="str">
            <v>1000127M</v>
          </cell>
          <cell r="B134" t="str">
            <v>2MP Medical LCD 42"</v>
          </cell>
          <cell r="C134">
            <v>0</v>
          </cell>
          <cell r="D134">
            <v>4249</v>
          </cell>
        </row>
        <row r="135">
          <cell r="A135" t="str">
            <v>1000128M</v>
          </cell>
          <cell r="B135" t="str">
            <v>IP65 Abdeckung Rückseite</v>
          </cell>
          <cell r="C135">
            <v>0</v>
          </cell>
          <cell r="D135">
            <v>48</v>
          </cell>
        </row>
        <row r="136">
          <cell r="A136" t="str">
            <v>1000129M</v>
          </cell>
          <cell r="B136" t="str">
            <v>DVD±RW, Slot-In für AESCU.certus</v>
          </cell>
          <cell r="C136">
            <v>0</v>
          </cell>
          <cell r="D136">
            <v>94.4</v>
          </cell>
        </row>
        <row r="137">
          <cell r="A137" t="str">
            <v>1000130M</v>
          </cell>
          <cell r="B137" t="str">
            <v>USB Buchse IP54 mit ca. 20 cm Kabel</v>
          </cell>
          <cell r="C137">
            <v>0</v>
          </cell>
          <cell r="D137">
            <v>25.35</v>
          </cell>
        </row>
        <row r="138">
          <cell r="A138" t="str">
            <v>1000131M</v>
          </cell>
          <cell r="B138" t="str">
            <v>Wandhalterung AESCU.certus</v>
          </cell>
          <cell r="C138">
            <v>0</v>
          </cell>
          <cell r="D138">
            <v>30</v>
          </cell>
        </row>
        <row r="139">
          <cell r="A139" t="str">
            <v>1000132M</v>
          </cell>
          <cell r="B139" t="str">
            <v>MCD Vision Line xm-152</v>
          </cell>
          <cell r="C139">
            <v>0</v>
          </cell>
          <cell r="D139">
            <v>389</v>
          </cell>
        </row>
        <row r="140">
          <cell r="A140" t="str">
            <v>1000133M</v>
          </cell>
          <cell r="B140" t="str">
            <v>100 GB SATA Festplatte 2.5", 7.200 rpm</v>
          </cell>
          <cell r="C140">
            <v>0</v>
          </cell>
          <cell r="D140">
            <v>78.319999999999993</v>
          </cell>
        </row>
        <row r="141">
          <cell r="A141" t="str">
            <v>1000134M</v>
          </cell>
          <cell r="B141" t="str">
            <v>GETT Alu-Tastatur IP65/PS2/Ger</v>
          </cell>
          <cell r="C141">
            <v>0</v>
          </cell>
          <cell r="D141">
            <v>135.19999999999999</v>
          </cell>
        </row>
        <row r="142">
          <cell r="A142" t="str">
            <v>1000135M</v>
          </cell>
          <cell r="B142" t="str">
            <v>Slimbook Aufpreis 1GB anstelle 256MB DDR-RAM</v>
          </cell>
          <cell r="C142">
            <v>0</v>
          </cell>
          <cell r="D142">
            <v>94</v>
          </cell>
        </row>
        <row r="143">
          <cell r="A143" t="str">
            <v>1000136M</v>
          </cell>
          <cell r="B143" t="str">
            <v>Slimbook Aufpreis 120GB anstelle 40GB HD</v>
          </cell>
          <cell r="C143">
            <v>0</v>
          </cell>
          <cell r="D143">
            <v>53</v>
          </cell>
        </row>
        <row r="144">
          <cell r="A144" t="str">
            <v>1000137M</v>
          </cell>
          <cell r="B144" t="str">
            <v>Netzwerktrennung NWI 10/100 TP</v>
          </cell>
          <cell r="C144">
            <v>0</v>
          </cell>
          <cell r="D144">
            <v>112.2</v>
          </cell>
        </row>
        <row r="145">
          <cell r="A145" t="str">
            <v>1000138M</v>
          </cell>
          <cell r="B145" t="str">
            <v>Basis Modell DR</v>
          </cell>
          <cell r="C145">
            <v>0</v>
          </cell>
          <cell r="D145">
            <v>794.1</v>
          </cell>
        </row>
        <row r="146">
          <cell r="A146" t="str">
            <v>1000139M</v>
          </cell>
          <cell r="B146" t="str">
            <v>Med. Tischnetzteil EN60601 Typ A</v>
          </cell>
          <cell r="C146">
            <v>0</v>
          </cell>
          <cell r="D146">
            <v>63.3</v>
          </cell>
        </row>
        <row r="147">
          <cell r="A147" t="str">
            <v>1000140M</v>
          </cell>
          <cell r="B147" t="str">
            <v>Abdeckung modifiziert Rückseite AESCU.certus</v>
          </cell>
          <cell r="C147">
            <v>0</v>
          </cell>
          <cell r="D147">
            <v>48</v>
          </cell>
        </row>
        <row r="148">
          <cell r="A148" t="str">
            <v>1000141M</v>
          </cell>
          <cell r="B148" t="str">
            <v>LCD Power Adapter Anschlusskabel Typ A</v>
          </cell>
          <cell r="C148">
            <v>266</v>
          </cell>
          <cell r="D148">
            <v>11</v>
          </cell>
        </row>
        <row r="149">
          <cell r="A149" t="str">
            <v>1000142M</v>
          </cell>
          <cell r="B149" t="str">
            <v>Sparkle AGP MX440SE-8X 64MBDDR+TV SP7300M4T retail</v>
          </cell>
          <cell r="C149">
            <v>0</v>
          </cell>
          <cell r="D149">
            <v>11.93</v>
          </cell>
        </row>
        <row r="150">
          <cell r="A150" t="str">
            <v>1000143M</v>
          </cell>
          <cell r="B150" t="str">
            <v>Basis Modell MCD Desktop</v>
          </cell>
          <cell r="C150">
            <v>0</v>
          </cell>
          <cell r="D150">
            <v>0</v>
          </cell>
        </row>
        <row r="151">
          <cell r="A151" t="str">
            <v>1000144M</v>
          </cell>
          <cell r="B151" t="str">
            <v>Basis Modell MCD Minitower</v>
          </cell>
          <cell r="C151">
            <v>0</v>
          </cell>
          <cell r="D151">
            <v>218.55</v>
          </cell>
        </row>
        <row r="152">
          <cell r="A152" t="str">
            <v>1000145M</v>
          </cell>
          <cell r="B152" t="str">
            <v>19" Touch Medical LCD MQ219, VESA, EN60601</v>
          </cell>
          <cell r="C152">
            <v>0</v>
          </cell>
          <cell r="D152">
            <v>860</v>
          </cell>
        </row>
        <row r="153">
          <cell r="A153" t="str">
            <v>1000146M</v>
          </cell>
          <cell r="B153" t="str">
            <v>19" Touch Medical LCD MQ219, Standfuß, EN60601</v>
          </cell>
          <cell r="C153">
            <v>0</v>
          </cell>
          <cell r="D153">
            <v>890</v>
          </cell>
        </row>
        <row r="154">
          <cell r="A154" t="str">
            <v>1000147M</v>
          </cell>
          <cell r="B154" t="str">
            <v>MCD Vision Line ISA Desktop System</v>
          </cell>
          <cell r="C154">
            <v>0</v>
          </cell>
          <cell r="D154">
            <v>580</v>
          </cell>
        </row>
        <row r="155">
          <cell r="A155" t="str">
            <v>1000148M</v>
          </cell>
          <cell r="B155" t="str">
            <v>Slimbook P120 Mainboard</v>
          </cell>
          <cell r="C155">
            <v>0</v>
          </cell>
          <cell r="D155">
            <v>145</v>
          </cell>
        </row>
        <row r="156">
          <cell r="A156" t="str">
            <v>1000191M</v>
          </cell>
          <cell r="B156" t="str">
            <v>FAVORIT 100XS - Art.Nr.140239</v>
          </cell>
          <cell r="C156">
            <v>0</v>
          </cell>
          <cell r="D156">
            <v>555</v>
          </cell>
        </row>
        <row r="157">
          <cell r="A157" t="str">
            <v>1000192M</v>
          </cell>
          <cell r="B157" t="str">
            <v>Tablet PC Motion LE1700</v>
          </cell>
          <cell r="C157">
            <v>0</v>
          </cell>
          <cell r="D157">
            <v>1574.61</v>
          </cell>
        </row>
        <row r="158">
          <cell r="A158" t="str">
            <v>1000193M</v>
          </cell>
          <cell r="B158" t="str">
            <v>Tablet PC Motion LE1700 VAD</v>
          </cell>
          <cell r="C158">
            <v>0</v>
          </cell>
          <cell r="D158">
            <v>1470.83</v>
          </cell>
        </row>
        <row r="159">
          <cell r="A159" t="str">
            <v>1000194M</v>
          </cell>
          <cell r="B159" t="str">
            <v>Motion Akku Ersatz für LE1700/VAD/TS</v>
          </cell>
          <cell r="C159">
            <v>0</v>
          </cell>
          <cell r="D159">
            <v>136.22999999999999</v>
          </cell>
        </row>
        <row r="160">
          <cell r="A160" t="str">
            <v>1000195M</v>
          </cell>
          <cell r="B160" t="str">
            <v>Motion Bump Case für LE Serie</v>
          </cell>
          <cell r="C160">
            <v>0</v>
          </cell>
          <cell r="D160">
            <v>56.69</v>
          </cell>
        </row>
        <row r="161">
          <cell r="A161" t="str">
            <v>1000196M</v>
          </cell>
          <cell r="B161" t="str">
            <v>Motion Protective Display Film (3er Pack)</v>
          </cell>
          <cell r="C161">
            <v>0</v>
          </cell>
          <cell r="D161">
            <v>45</v>
          </cell>
        </row>
        <row r="162">
          <cell r="A162" t="str">
            <v>1000197M</v>
          </cell>
          <cell r="B162" t="str">
            <v>Motion Garantieerweiterung 2 auf 3 Jahre</v>
          </cell>
          <cell r="C162">
            <v>0</v>
          </cell>
          <cell r="D162">
            <v>78.5</v>
          </cell>
        </row>
        <row r="163">
          <cell r="A163" t="str">
            <v>1000198M</v>
          </cell>
          <cell r="B163" t="str">
            <v>OMNIKEY 3121 Reader Board inkl. Mounting Jacket</v>
          </cell>
          <cell r="C163">
            <v>0</v>
          </cell>
          <cell r="D163">
            <v>26.9</v>
          </cell>
        </row>
        <row r="164">
          <cell r="A164" t="str">
            <v>1000199M</v>
          </cell>
          <cell r="B164" t="str">
            <v>Artema Modular (Controller basiert) mit ACR Manual</v>
          </cell>
          <cell r="C164">
            <v>0</v>
          </cell>
          <cell r="D164">
            <v>719.6</v>
          </cell>
        </row>
        <row r="165">
          <cell r="A165" t="str">
            <v>1000200M</v>
          </cell>
          <cell r="B165" t="str">
            <v>MCD Vision Line Display 17"</v>
          </cell>
          <cell r="C165">
            <v>0</v>
          </cell>
          <cell r="D165">
            <v>70</v>
          </cell>
        </row>
        <row r="166">
          <cell r="A166" t="str">
            <v>1000201M</v>
          </cell>
          <cell r="B166" t="str">
            <v>MCD Vision Line Display 19"</v>
          </cell>
          <cell r="C166">
            <v>0</v>
          </cell>
          <cell r="D166">
            <v>0</v>
          </cell>
        </row>
        <row r="167">
          <cell r="A167" t="str">
            <v>1000202M</v>
          </cell>
          <cell r="B167" t="str">
            <v>HP Dual-Band Wireless PCI-Adapter A+G</v>
          </cell>
          <cell r="C167">
            <v>0</v>
          </cell>
          <cell r="D167">
            <v>72</v>
          </cell>
        </row>
        <row r="168">
          <cell r="A168" t="str">
            <v>1000203M</v>
          </cell>
          <cell r="B168" t="str">
            <v>PCI Riser -FLEX- 2-slots</v>
          </cell>
          <cell r="C168">
            <v>0</v>
          </cell>
          <cell r="D168">
            <v>21</v>
          </cell>
        </row>
        <row r="169">
          <cell r="A169" t="str">
            <v>1000204M</v>
          </cell>
          <cell r="B169" t="str">
            <v>DVI PCI-E Karte für Dual-Display Betrieb</v>
          </cell>
          <cell r="C169">
            <v>2</v>
          </cell>
          <cell r="D169">
            <v>32</v>
          </cell>
        </row>
        <row r="170">
          <cell r="A170" t="str">
            <v>1000205M</v>
          </cell>
          <cell r="B170" t="str">
            <v>2 GB Arbeitsspeicher (Set) für AIDA/OR1 control</v>
          </cell>
          <cell r="C170">
            <v>0</v>
          </cell>
          <cell r="D170">
            <v>0</v>
          </cell>
        </row>
        <row r="171">
          <cell r="A171" t="str">
            <v>1000206M</v>
          </cell>
          <cell r="B171" t="str">
            <v>Citizen PMU-202</v>
          </cell>
          <cell r="C171">
            <v>0</v>
          </cell>
          <cell r="D171">
            <v>147</v>
          </cell>
        </row>
        <row r="172">
          <cell r="A172" t="str">
            <v>1000207M</v>
          </cell>
          <cell r="B172" t="str">
            <v>Zusätzliche IP67 USB Buchse für AESCU.certus</v>
          </cell>
          <cell r="C172">
            <v>0</v>
          </cell>
          <cell r="D172">
            <v>24</v>
          </cell>
        </row>
        <row r="173">
          <cell r="A173" t="str">
            <v>1000208M</v>
          </cell>
          <cell r="B173" t="str">
            <v>Accessory Kit for KT965</v>
          </cell>
          <cell r="C173">
            <v>0</v>
          </cell>
          <cell r="D173">
            <v>37</v>
          </cell>
        </row>
        <row r="174">
          <cell r="A174" t="str">
            <v>1000209M</v>
          </cell>
          <cell r="B174" t="str">
            <v>LGA775 Cooler for KT965 family</v>
          </cell>
          <cell r="C174">
            <v>0</v>
          </cell>
          <cell r="D174">
            <v>9</v>
          </cell>
        </row>
        <row r="175">
          <cell r="A175" t="str">
            <v>1000210M</v>
          </cell>
          <cell r="B175" t="str">
            <v>Kontron Mainboard KT965/FLEX</v>
          </cell>
          <cell r="C175">
            <v>0</v>
          </cell>
          <cell r="D175">
            <v>169</v>
          </cell>
        </row>
        <row r="176">
          <cell r="A176" t="str">
            <v>1000211M</v>
          </cell>
          <cell r="B176" t="str">
            <v>Intel Core 2 Duo E6400 / 2.13GHZ</v>
          </cell>
          <cell r="C176">
            <v>0</v>
          </cell>
          <cell r="D176">
            <v>174</v>
          </cell>
        </row>
        <row r="177">
          <cell r="A177" t="str">
            <v>1000212M</v>
          </cell>
          <cell r="B177" t="str">
            <v>RAM-2GB-DIMM 148 PIN-266MHz/PC2100 ECC</v>
          </cell>
          <cell r="C177">
            <v>0</v>
          </cell>
          <cell r="D177">
            <v>30</v>
          </cell>
        </row>
        <row r="178">
          <cell r="A178" t="str">
            <v>1000213M</v>
          </cell>
          <cell r="B178" t="str">
            <v>Netzteil AESCU.certus intern</v>
          </cell>
          <cell r="C178">
            <v>0</v>
          </cell>
          <cell r="D178">
            <v>100</v>
          </cell>
        </row>
        <row r="179">
          <cell r="A179" t="str">
            <v>1000214M</v>
          </cell>
          <cell r="B179" t="str">
            <v>3er Pack Schutzfolie / 12.1" Touch</v>
          </cell>
          <cell r="C179">
            <v>0</v>
          </cell>
          <cell r="D179">
            <v>26</v>
          </cell>
        </row>
        <row r="180">
          <cell r="A180" t="str">
            <v>1000215M</v>
          </cell>
          <cell r="B180" t="str">
            <v>32-bit PCI Riser 2-slots AESCU.certus</v>
          </cell>
          <cell r="C180">
            <v>0</v>
          </cell>
          <cell r="D180">
            <v>22.22</v>
          </cell>
        </row>
        <row r="181">
          <cell r="A181" t="str">
            <v>1000216M</v>
          </cell>
          <cell r="B181" t="str">
            <v>Gehäuse AESCU.certus vertikal UNI-Freiburg</v>
          </cell>
          <cell r="C181">
            <v>0</v>
          </cell>
          <cell r="D181">
            <v>345</v>
          </cell>
        </row>
        <row r="182">
          <cell r="A182" t="str">
            <v>1000217M</v>
          </cell>
          <cell r="B182" t="str">
            <v>19" Medical LCD 1.3 MP, IP 65</v>
          </cell>
          <cell r="C182">
            <v>0</v>
          </cell>
          <cell r="D182">
            <v>1636</v>
          </cell>
        </row>
        <row r="183">
          <cell r="A183" t="str">
            <v>1000218M</v>
          </cell>
          <cell r="B183" t="str">
            <v>Standfuss 19" Medical LCD,1.3 MP, IP 65</v>
          </cell>
          <cell r="C183">
            <v>0</v>
          </cell>
          <cell r="D183">
            <v>60</v>
          </cell>
        </row>
        <row r="184">
          <cell r="A184" t="str">
            <v>1000219M</v>
          </cell>
          <cell r="B184" t="str">
            <v>Bump Case Motion LE1700</v>
          </cell>
          <cell r="C184">
            <v>0</v>
          </cell>
          <cell r="D184">
            <v>56.69</v>
          </cell>
        </row>
        <row r="185">
          <cell r="A185" t="str">
            <v>1000220M</v>
          </cell>
          <cell r="B185" t="str">
            <v>Systemboard TP139, Fujitsu Siemens D1447</v>
          </cell>
          <cell r="C185">
            <v>0</v>
          </cell>
          <cell r="D185">
            <v>115</v>
          </cell>
        </row>
        <row r="186">
          <cell r="A186" t="str">
            <v>1000221M</v>
          </cell>
          <cell r="B186" t="str">
            <v>Ergotron LX Dual Arm</v>
          </cell>
          <cell r="C186">
            <v>0</v>
          </cell>
          <cell r="D186">
            <v>163.30000000000001</v>
          </cell>
        </row>
        <row r="187">
          <cell r="A187" t="str">
            <v>1000222M</v>
          </cell>
          <cell r="B187" t="str">
            <v>Befestigungsring geteilt, 25mm</v>
          </cell>
          <cell r="C187">
            <v>0</v>
          </cell>
          <cell r="D187">
            <v>25.5</v>
          </cell>
        </row>
        <row r="188">
          <cell r="A188" t="str">
            <v>1000223M</v>
          </cell>
          <cell r="B188" t="str">
            <v>Ergotorn CPU-Halterung universell</v>
          </cell>
          <cell r="C188">
            <v>0</v>
          </cell>
          <cell r="D188">
            <v>29.5</v>
          </cell>
        </row>
        <row r="189">
          <cell r="A189" t="str">
            <v>1000224M</v>
          </cell>
          <cell r="B189" t="str">
            <v>100 GB SATA Festplatte 2.5", 7.200 rpm</v>
          </cell>
          <cell r="C189">
            <v>0</v>
          </cell>
          <cell r="D189">
            <v>53.02</v>
          </cell>
        </row>
        <row r="190">
          <cell r="A190" t="str">
            <v>1000225M</v>
          </cell>
          <cell r="B190" t="str">
            <v>80GB SATA Festplatte 2.5", 5.400 rpm</v>
          </cell>
          <cell r="C190">
            <v>0</v>
          </cell>
          <cell r="D190">
            <v>117.92</v>
          </cell>
        </row>
        <row r="191">
          <cell r="A191" t="str">
            <v>1000226M</v>
          </cell>
          <cell r="B191" t="str">
            <v>Steckverbindung M16-Gehäuse - USB</v>
          </cell>
          <cell r="C191">
            <v>0</v>
          </cell>
          <cell r="D191">
            <v>15.75</v>
          </cell>
        </row>
        <row r="192">
          <cell r="A192" t="str">
            <v>1000227M</v>
          </cell>
          <cell r="B192" t="str">
            <v>GAP-PAD Soft Stärke 2,0 mm, 80 mil Platten</v>
          </cell>
          <cell r="C192">
            <v>1</v>
          </cell>
          <cell r="D192">
            <v>53.88</v>
          </cell>
        </row>
        <row r="193">
          <cell r="A193" t="str">
            <v>1000228M</v>
          </cell>
          <cell r="B193" t="str">
            <v>15" Medical Color Display FM, inkl. Schutzglas</v>
          </cell>
          <cell r="C193">
            <v>0</v>
          </cell>
          <cell r="D193">
            <v>529</v>
          </cell>
        </row>
        <row r="194">
          <cell r="A194" t="str">
            <v>1000229M</v>
          </cell>
          <cell r="B194" t="str">
            <v>GAP-PAD Ultra-Soft Stärke 2,0 mm, 80 mil Platten</v>
          </cell>
          <cell r="C194">
            <v>0</v>
          </cell>
          <cell r="D194">
            <v>45.69</v>
          </cell>
        </row>
        <row r="195">
          <cell r="A195" t="str">
            <v>1000230M</v>
          </cell>
          <cell r="B195" t="str">
            <v>Slimbook Batterie Pack Li-Ion für 110/120, schwarz</v>
          </cell>
          <cell r="C195">
            <v>0</v>
          </cell>
          <cell r="D195">
            <v>59</v>
          </cell>
        </row>
        <row r="196">
          <cell r="A196" t="str">
            <v>1000231M</v>
          </cell>
          <cell r="B196" t="str">
            <v>RS232 Isolator</v>
          </cell>
          <cell r="C196">
            <v>22</v>
          </cell>
          <cell r="D196">
            <v>62</v>
          </cell>
        </row>
        <row r="197">
          <cell r="A197" t="str">
            <v>1000232M</v>
          </cell>
          <cell r="B197" t="str">
            <v>DVD-RW SATA to IDE (Set)</v>
          </cell>
          <cell r="C197">
            <v>0</v>
          </cell>
          <cell r="D197">
            <v>0</v>
          </cell>
        </row>
        <row r="198">
          <cell r="A198" t="str">
            <v>1000233M</v>
          </cell>
          <cell r="B198" t="str">
            <v>Paceblade N234-0120 - Linux SlimBook 240R-A</v>
          </cell>
          <cell r="C198">
            <v>0</v>
          </cell>
          <cell r="D198">
            <v>1215</v>
          </cell>
        </row>
        <row r="199">
          <cell r="A199" t="str">
            <v>1000234M</v>
          </cell>
          <cell r="B199" t="str">
            <v>MKT Spare Part Kit</v>
          </cell>
          <cell r="C199">
            <v>0</v>
          </cell>
          <cell r="D199">
            <v>0</v>
          </cell>
        </row>
        <row r="200">
          <cell r="A200" t="str">
            <v>1000235M</v>
          </cell>
          <cell r="B200" t="str">
            <v>6pol Phönix Stecker FKC 2,5 / 6-STF-5,08 - 1873249</v>
          </cell>
          <cell r="C200">
            <v>100</v>
          </cell>
          <cell r="D200">
            <v>2.0499999999999998</v>
          </cell>
        </row>
        <row r="201">
          <cell r="A201" t="str">
            <v>1000236M</v>
          </cell>
          <cell r="B201" t="str">
            <v>2pol Phönix Stecker FKC 2,5 / 2-STF-5,08 - 1873207</v>
          </cell>
          <cell r="C201">
            <v>150</v>
          </cell>
          <cell r="D201">
            <v>0.71</v>
          </cell>
        </row>
        <row r="202">
          <cell r="A202" t="str">
            <v>1001000M</v>
          </cell>
          <cell r="B202" t="str">
            <v>Basis Modell AESCU.certus Standversion</v>
          </cell>
          <cell r="C202">
            <v>0</v>
          </cell>
          <cell r="D202">
            <v>897.5</v>
          </cell>
        </row>
        <row r="203">
          <cell r="A203" t="str">
            <v>1001001M</v>
          </cell>
          <cell r="B203" t="str">
            <v>Basis Modell AESCU.certus Wandversion</v>
          </cell>
          <cell r="C203">
            <v>0</v>
          </cell>
          <cell r="D203">
            <v>898.25</v>
          </cell>
        </row>
        <row r="204">
          <cell r="A204" t="str">
            <v>1001002M</v>
          </cell>
          <cell r="B204" t="str">
            <v>Basis Modell AESCU.certus E&amp;L (Stand)</v>
          </cell>
          <cell r="C204">
            <v>0</v>
          </cell>
          <cell r="D204">
            <v>897.5</v>
          </cell>
        </row>
        <row r="205">
          <cell r="A205" t="str">
            <v>1001003M</v>
          </cell>
          <cell r="B205" t="str">
            <v>Basis Modell AESCU.certus E&amp;L (Wand)</v>
          </cell>
          <cell r="C205">
            <v>0</v>
          </cell>
          <cell r="D205">
            <v>897.5</v>
          </cell>
        </row>
        <row r="206">
          <cell r="A206" t="str">
            <v>1001004M</v>
          </cell>
          <cell r="B206" t="str">
            <v>Basis Modell AESCU.certus Stand Klinik. Stuttgart</v>
          </cell>
          <cell r="C206">
            <v>1</v>
          </cell>
          <cell r="D206">
            <v>924.6</v>
          </cell>
        </row>
        <row r="207">
          <cell r="A207">
            <v>1001138</v>
          </cell>
          <cell r="B207" t="str">
            <v>TERRA All-In-One-PC 2200 iT6570/4GB/1TB/9100M/W7HP</v>
          </cell>
          <cell r="C207">
            <v>0</v>
          </cell>
          <cell r="D207">
            <v>629</v>
          </cell>
        </row>
        <row r="208">
          <cell r="A208">
            <v>1001146</v>
          </cell>
          <cell r="B208" t="str">
            <v>TERRA PC-HOME 4100 iE5700/2GB/500/GT220 W7HP</v>
          </cell>
          <cell r="C208">
            <v>0</v>
          </cell>
          <cell r="D208">
            <v>379</v>
          </cell>
        </row>
        <row r="209">
          <cell r="A209">
            <v>1001156</v>
          </cell>
          <cell r="B209" t="str">
            <v>TERRA PC-GAMER 6300 i860/8GB/1TB/6870/±RW/W7HP</v>
          </cell>
          <cell r="C209">
            <v>0</v>
          </cell>
          <cell r="D209">
            <v>769</v>
          </cell>
        </row>
        <row r="210">
          <cell r="A210">
            <v>1009166</v>
          </cell>
          <cell r="B210" t="str">
            <v>TERRA PC-BUSINESS 6100 i750/4GB/5450 Silent W7P</v>
          </cell>
          <cell r="C210">
            <v>0</v>
          </cell>
          <cell r="D210">
            <v>785</v>
          </cell>
        </row>
        <row r="211">
          <cell r="A211">
            <v>1009202</v>
          </cell>
          <cell r="B211" t="str">
            <v>TERRA PC-BUSINESS 5100 Silent i650/4GB/500/W7P</v>
          </cell>
          <cell r="C211">
            <v>0</v>
          </cell>
          <cell r="D211">
            <v>28.75</v>
          </cell>
        </row>
        <row r="212">
          <cell r="A212">
            <v>1009207</v>
          </cell>
          <cell r="B212" t="str">
            <v>TERRA All-In-One-PC 2201 i380/2GB/500GB/W7P</v>
          </cell>
          <cell r="C212">
            <v>0</v>
          </cell>
          <cell r="D212">
            <v>549</v>
          </cell>
        </row>
        <row r="213">
          <cell r="A213">
            <v>101</v>
          </cell>
          <cell r="B213" t="str">
            <v>Basis Modell MPM800</v>
          </cell>
          <cell r="C213">
            <v>0</v>
          </cell>
          <cell r="D213">
            <v>257</v>
          </cell>
        </row>
        <row r="214">
          <cell r="A214" t="str">
            <v>1050001M</v>
          </cell>
          <cell r="B214" t="str">
            <v>MCD Medical Line AESCU.certus Standversion</v>
          </cell>
          <cell r="C214">
            <v>0</v>
          </cell>
          <cell r="D214">
            <v>0</v>
          </cell>
        </row>
        <row r="215">
          <cell r="A215" t="str">
            <v>1050002M</v>
          </cell>
          <cell r="B215" t="str">
            <v>MCD Medical Line AESCU.certus Wandversion</v>
          </cell>
          <cell r="C215">
            <v>0</v>
          </cell>
          <cell r="D215">
            <v>0</v>
          </cell>
        </row>
        <row r="216">
          <cell r="A216" t="str">
            <v>1050003M</v>
          </cell>
          <cell r="B216" t="str">
            <v>MCD Medical Line PANA.ceia</v>
          </cell>
          <cell r="C216">
            <v>0</v>
          </cell>
          <cell r="D216">
            <v>0</v>
          </cell>
        </row>
        <row r="217">
          <cell r="A217" t="str">
            <v>1050004M</v>
          </cell>
          <cell r="B217" t="str">
            <v>MCD Medical Line VEIO.vis</v>
          </cell>
          <cell r="C217">
            <v>0</v>
          </cell>
          <cell r="D217">
            <v>0</v>
          </cell>
        </row>
        <row r="218">
          <cell r="A218" t="str">
            <v>1050005M</v>
          </cell>
          <cell r="B218" t="str">
            <v>MCD Medical Line THA.leia 19" PCI</v>
          </cell>
          <cell r="C218">
            <v>0</v>
          </cell>
          <cell r="D218">
            <v>0</v>
          </cell>
        </row>
        <row r="219">
          <cell r="A219" t="str">
            <v>1050006M</v>
          </cell>
          <cell r="B219" t="str">
            <v>MCD Medical Line THA.leia 19" Touch PCI</v>
          </cell>
          <cell r="C219">
            <v>0</v>
          </cell>
          <cell r="D219">
            <v>0</v>
          </cell>
        </row>
        <row r="220">
          <cell r="A220">
            <v>1100471</v>
          </cell>
          <cell r="B220" t="str">
            <v>TERRA SERVER 6120 2iX-5506/1U/SAS</v>
          </cell>
          <cell r="C220">
            <v>0</v>
          </cell>
          <cell r="D220">
            <v>0</v>
          </cell>
        </row>
        <row r="221">
          <cell r="A221">
            <v>1100556</v>
          </cell>
          <cell r="B221" t="str">
            <v>TERRA SERVER 6321 2iX-5620/T/5U/SAS</v>
          </cell>
          <cell r="C221">
            <v>0</v>
          </cell>
          <cell r="D221">
            <v>1599</v>
          </cell>
        </row>
        <row r="222">
          <cell r="A222">
            <v>113</v>
          </cell>
          <cell r="B222" t="str">
            <v>Manueller Artikel :</v>
          </cell>
          <cell r="C222">
            <v>-14714</v>
          </cell>
          <cell r="D222">
            <v>0.11</v>
          </cell>
        </row>
        <row r="223">
          <cell r="A223">
            <v>1200414</v>
          </cell>
          <cell r="B223" t="str">
            <v>TERRA ANIMA M 2100 iCM-360   15" *Aktion* XP Home</v>
          </cell>
          <cell r="C223">
            <v>0</v>
          </cell>
          <cell r="D223">
            <v>489</v>
          </cell>
        </row>
        <row r="224">
          <cell r="A224">
            <v>1200979</v>
          </cell>
          <cell r="B224" t="str">
            <v>TERRA MOBILE 1772 i7-620M W7P PRO  Non Glare</v>
          </cell>
          <cell r="C224">
            <v>0</v>
          </cell>
          <cell r="D224">
            <v>995</v>
          </cell>
        </row>
        <row r="225">
          <cell r="A225">
            <v>1200991</v>
          </cell>
          <cell r="B225" t="str">
            <v>TERRA MOBILE 1585 i5-430M W7P Pro</v>
          </cell>
          <cell r="C225">
            <v>0</v>
          </cell>
          <cell r="D225">
            <v>849</v>
          </cell>
        </row>
        <row r="226">
          <cell r="A226">
            <v>1201072</v>
          </cell>
          <cell r="B226" t="str">
            <v>TC 3670/3550/3750/3770 Halterung Kit</v>
          </cell>
          <cell r="C226">
            <v>0</v>
          </cell>
          <cell r="D226">
            <v>10</v>
          </cell>
        </row>
        <row r="227">
          <cell r="A227">
            <v>1201102</v>
          </cell>
          <cell r="B227" t="str">
            <v>TC 3770 V4 1GHz Bare Bone</v>
          </cell>
          <cell r="C227">
            <v>0</v>
          </cell>
          <cell r="D227">
            <v>175</v>
          </cell>
        </row>
        <row r="228">
          <cell r="A228">
            <v>1201115</v>
          </cell>
          <cell r="B228" t="str">
            <v>TC 3770 V4 1GHz Bare Bone (DDR2)</v>
          </cell>
          <cell r="C228">
            <v>0</v>
          </cell>
          <cell r="D228">
            <v>164</v>
          </cell>
        </row>
        <row r="229">
          <cell r="A229">
            <v>1201130</v>
          </cell>
          <cell r="B229" t="str">
            <v>TERRA TC 3772 V-1.2GHz Barebone</v>
          </cell>
          <cell r="C229">
            <v>0</v>
          </cell>
          <cell r="D229">
            <v>170</v>
          </cell>
        </row>
        <row r="230">
          <cell r="A230">
            <v>1201134</v>
          </cell>
          <cell r="B230" t="str">
            <v>TERRA THINCLIENT 3772 V-1.2GHz/1G RAM/1G XPE Ger</v>
          </cell>
          <cell r="C230">
            <v>0</v>
          </cell>
          <cell r="D230">
            <v>289</v>
          </cell>
        </row>
        <row r="231">
          <cell r="A231">
            <v>1205050</v>
          </cell>
          <cell r="B231" t="str">
            <v>TC 3770 DOM 1GB XPE / DE</v>
          </cell>
          <cell r="C231">
            <v>0</v>
          </cell>
          <cell r="D231">
            <v>87</v>
          </cell>
        </row>
        <row r="232">
          <cell r="A232">
            <v>1205082</v>
          </cell>
          <cell r="B232" t="str">
            <v>TERRA TC 3772 DOM 1GB XPE / DE</v>
          </cell>
          <cell r="C232">
            <v>0</v>
          </cell>
          <cell r="D232">
            <v>92</v>
          </cell>
        </row>
        <row r="233">
          <cell r="A233">
            <v>1206005</v>
          </cell>
          <cell r="B233" t="str">
            <v>TERRA THINCLIENT 3770 V-1000  (BTO)</v>
          </cell>
          <cell r="C233">
            <v>0</v>
          </cell>
          <cell r="D233">
            <v>162</v>
          </cell>
        </row>
        <row r="234">
          <cell r="A234">
            <v>1206007</v>
          </cell>
          <cell r="B234" t="str">
            <v>TERRA THINCLIENT 3778 V-1600 DVD (BTO)</v>
          </cell>
          <cell r="C234">
            <v>0</v>
          </cell>
          <cell r="D234">
            <v>389</v>
          </cell>
        </row>
        <row r="235">
          <cell r="A235">
            <v>1220071</v>
          </cell>
          <cell r="B235" t="str">
            <v>TERRA MOBILE 1540 i5-480M W7P Pro</v>
          </cell>
          <cell r="C235">
            <v>0</v>
          </cell>
          <cell r="D235">
            <v>665</v>
          </cell>
        </row>
        <row r="236">
          <cell r="A236">
            <v>124</v>
          </cell>
          <cell r="B236" t="str">
            <v>Garantie 24 Monate (Bring-in)</v>
          </cell>
          <cell r="C236">
            <v>-5</v>
          </cell>
          <cell r="D236">
            <v>0</v>
          </cell>
        </row>
        <row r="237">
          <cell r="A237">
            <v>130</v>
          </cell>
          <cell r="B237" t="str">
            <v xml:space="preserve"> Expressfertigung</v>
          </cell>
          <cell r="C237">
            <v>-18</v>
          </cell>
          <cell r="D237">
            <v>30</v>
          </cell>
        </row>
        <row r="238">
          <cell r="A238">
            <v>1300065</v>
          </cell>
          <cell r="B238" t="str">
            <v>RECHNER (B-t-O) Serversystem</v>
          </cell>
          <cell r="C238">
            <v>0</v>
          </cell>
          <cell r="D238">
            <v>50</v>
          </cell>
        </row>
        <row r="239">
          <cell r="A239">
            <v>132</v>
          </cell>
          <cell r="B239" t="str">
            <v>TSP Expressfertigungsservice SERVER/NAS (48 Std.)</v>
          </cell>
          <cell r="C239">
            <v>0</v>
          </cell>
          <cell r="D239">
            <v>300</v>
          </cell>
        </row>
        <row r="240">
          <cell r="A240">
            <v>136</v>
          </cell>
          <cell r="B240" t="str">
            <v>Garantie 36 Monate (Bring-in)</v>
          </cell>
          <cell r="C240">
            <v>-180</v>
          </cell>
          <cell r="D240">
            <v>0</v>
          </cell>
        </row>
        <row r="241">
          <cell r="A241">
            <v>1405117</v>
          </cell>
          <cell r="B241" t="str">
            <v>YY Intel Serverbarebone SR2625URLX***</v>
          </cell>
          <cell r="C241">
            <v>0</v>
          </cell>
          <cell r="D241">
            <v>1098</v>
          </cell>
        </row>
        <row r="242">
          <cell r="A242">
            <v>1405120</v>
          </cell>
          <cell r="B242" t="str">
            <v>Intel Serverbarebone SR1630HGP</v>
          </cell>
          <cell r="C242">
            <v>0</v>
          </cell>
          <cell r="D242">
            <v>200</v>
          </cell>
        </row>
        <row r="243">
          <cell r="A243">
            <v>1405121</v>
          </cell>
          <cell r="B243" t="str">
            <v>Intel Serverbarebone SR1600URHSR</v>
          </cell>
          <cell r="C243">
            <v>0</v>
          </cell>
          <cell r="D243">
            <v>1026.05</v>
          </cell>
        </row>
        <row r="244">
          <cell r="A244">
            <v>1405122</v>
          </cell>
          <cell r="B244" t="str">
            <v>Intel Serverbarebone SR2600URLXR</v>
          </cell>
          <cell r="C244">
            <v>0</v>
          </cell>
          <cell r="D244">
            <v>1000</v>
          </cell>
        </row>
        <row r="245">
          <cell r="A245">
            <v>1405123</v>
          </cell>
          <cell r="B245" t="str">
            <v>Intel Serverbarebone SR2625URLXR</v>
          </cell>
          <cell r="C245">
            <v>0</v>
          </cell>
          <cell r="D245">
            <v>1371</v>
          </cell>
        </row>
        <row r="246">
          <cell r="A246">
            <v>1405126</v>
          </cell>
          <cell r="B246" t="str">
            <v>Intel Serverbarebone SR2600URBRPR</v>
          </cell>
          <cell r="C246">
            <v>0</v>
          </cell>
          <cell r="D246">
            <v>1075.0999999999999</v>
          </cell>
        </row>
        <row r="247">
          <cell r="A247">
            <v>1405127</v>
          </cell>
          <cell r="B247" t="str">
            <v>Intel Serverbarebone SR2600URSATAR</v>
          </cell>
          <cell r="C247">
            <v>0</v>
          </cell>
          <cell r="D247">
            <v>784.2</v>
          </cell>
        </row>
        <row r="248">
          <cell r="A248">
            <v>1470231</v>
          </cell>
          <cell r="B248" t="str">
            <v>NB  MOBILE 8400 15.4" WXGA(1280x800), o.T.</v>
          </cell>
          <cell r="C248">
            <v>0</v>
          </cell>
          <cell r="D248">
            <v>1019</v>
          </cell>
        </row>
        <row r="249">
          <cell r="A249">
            <v>1470232</v>
          </cell>
          <cell r="B249" t="str">
            <v>NB  MOBILE 8400 15.4" WSXGA+ GLARE (1680x1050),o.T</v>
          </cell>
          <cell r="C249">
            <v>0</v>
          </cell>
          <cell r="D249">
            <v>0</v>
          </cell>
        </row>
        <row r="250">
          <cell r="A250">
            <v>148</v>
          </cell>
          <cell r="B250" t="str">
            <v>Garantie 48 Monate (Bring-in)</v>
          </cell>
          <cell r="C250">
            <v>-2</v>
          </cell>
          <cell r="D250">
            <v>0</v>
          </cell>
        </row>
        <row r="251">
          <cell r="A251">
            <v>1480149</v>
          </cell>
          <cell r="B251" t="str">
            <v>Netzteil 120W für ML1750</v>
          </cell>
          <cell r="C251">
            <v>0</v>
          </cell>
          <cell r="D251">
            <v>49</v>
          </cell>
        </row>
        <row r="252">
          <cell r="A252">
            <v>1480185</v>
          </cell>
          <cell r="B252" t="str">
            <v>NB MOBILE 2000 Li-Ion Akku 6 Cell (standard)</v>
          </cell>
          <cell r="C252">
            <v>0</v>
          </cell>
          <cell r="D252">
            <v>79</v>
          </cell>
        </row>
        <row r="253">
          <cell r="A253">
            <v>1480207</v>
          </cell>
          <cell r="B253" t="str">
            <v>NB Wireless Notebook Presenter mit Laser***</v>
          </cell>
          <cell r="C253">
            <v>0</v>
          </cell>
          <cell r="D253">
            <v>29</v>
          </cell>
        </row>
        <row r="254">
          <cell r="A254">
            <v>1480212</v>
          </cell>
          <cell r="B254" t="str">
            <v>NB AURA NEON II/II-plus/NEON I  Portreplikator</v>
          </cell>
          <cell r="C254">
            <v>0</v>
          </cell>
          <cell r="D254">
            <v>69</v>
          </cell>
        </row>
        <row r="255">
          <cell r="A255">
            <v>1480213</v>
          </cell>
          <cell r="B255" t="str">
            <v>NB AURA NEON II/II-plus/NEON II-S Combo f.Multibay</v>
          </cell>
          <cell r="C255">
            <v>0</v>
          </cell>
          <cell r="D255">
            <v>65</v>
          </cell>
        </row>
        <row r="256">
          <cell r="A256">
            <v>1480215</v>
          </cell>
          <cell r="B256" t="str">
            <v>NB AURA NEON II/II-plus 2nd Akku für Multibay</v>
          </cell>
          <cell r="C256">
            <v>0</v>
          </cell>
          <cell r="D256">
            <v>69</v>
          </cell>
        </row>
        <row r="257">
          <cell r="A257">
            <v>1480216</v>
          </cell>
          <cell r="B257" t="str">
            <v>NB NEON II/II-plus NEON II-S  Akku standard</v>
          </cell>
          <cell r="C257">
            <v>0</v>
          </cell>
          <cell r="D257">
            <v>82</v>
          </cell>
        </row>
        <row r="258">
          <cell r="A258">
            <v>1480223</v>
          </cell>
          <cell r="B258" t="str">
            <v>NB AURA NEON II/II-Plus NEON II-S  Tastatur dt.</v>
          </cell>
          <cell r="C258">
            <v>0</v>
          </cell>
          <cell r="D258">
            <v>10</v>
          </cell>
        </row>
        <row r="259">
          <cell r="A259">
            <v>1480243</v>
          </cell>
          <cell r="B259" t="str">
            <v>NB ML2200 Tastatur deutsch</v>
          </cell>
          <cell r="C259">
            <v>0</v>
          </cell>
          <cell r="D259">
            <v>10</v>
          </cell>
        </row>
        <row r="260">
          <cell r="A260">
            <v>1480245</v>
          </cell>
          <cell r="B260" t="str">
            <v>NB MOBILE 4200/4201/2200 Akku (standard) 8cell</v>
          </cell>
          <cell r="C260">
            <v>0</v>
          </cell>
          <cell r="D260">
            <v>45</v>
          </cell>
        </row>
        <row r="261">
          <cell r="A261">
            <v>1480246</v>
          </cell>
          <cell r="B261" t="str">
            <v>NB Netzteil Universal NB90</v>
          </cell>
          <cell r="C261">
            <v>0</v>
          </cell>
          <cell r="D261">
            <v>39</v>
          </cell>
        </row>
        <row r="262">
          <cell r="A262">
            <v>1480247</v>
          </cell>
          <cell r="B262" t="str">
            <v>NB Netzteil Universal NB120</v>
          </cell>
          <cell r="C262">
            <v>0</v>
          </cell>
          <cell r="D262">
            <v>49</v>
          </cell>
        </row>
        <row r="263">
          <cell r="A263">
            <v>1480269</v>
          </cell>
          <cell r="B263" t="str">
            <v>NB AURA NEON II/II-Plus/II-S DVD±RW/±R DL</v>
          </cell>
          <cell r="C263">
            <v>0</v>
          </cell>
          <cell r="D263">
            <v>85</v>
          </cell>
        </row>
        <row r="264">
          <cell r="A264">
            <v>1480316</v>
          </cell>
          <cell r="B264" t="str">
            <v>DVD/ DVD±RW für ML2200</v>
          </cell>
          <cell r="C264">
            <v>0</v>
          </cell>
          <cell r="D264">
            <v>65</v>
          </cell>
        </row>
        <row r="265">
          <cell r="A265">
            <v>1480317</v>
          </cell>
          <cell r="B265" t="str">
            <v>NB ML2200 DVD/CDRW Combo</v>
          </cell>
          <cell r="C265">
            <v>0</v>
          </cell>
          <cell r="D265">
            <v>37</v>
          </cell>
        </row>
        <row r="266">
          <cell r="A266">
            <v>1480321</v>
          </cell>
          <cell r="B266" t="str">
            <v>NB ML4200 Tastatur dt.</v>
          </cell>
          <cell r="C266">
            <v>0</v>
          </cell>
          <cell r="D266">
            <v>10</v>
          </cell>
        </row>
        <row r="267">
          <cell r="A267">
            <v>1480322</v>
          </cell>
          <cell r="B267" t="str">
            <v>NB Notebook Fernbedienung im.PCMCIA-Format,m.Laser</v>
          </cell>
          <cell r="C267">
            <v>0</v>
          </cell>
          <cell r="D267">
            <v>25</v>
          </cell>
        </row>
        <row r="268">
          <cell r="A268">
            <v>1480330</v>
          </cell>
          <cell r="B268" t="str">
            <v>NB ML 4200 DVD±RW/±R DL (Double Layer)</v>
          </cell>
          <cell r="C268">
            <v>0</v>
          </cell>
          <cell r="D268">
            <v>62</v>
          </cell>
        </row>
        <row r="269">
          <cell r="A269">
            <v>1480331</v>
          </cell>
          <cell r="B269" t="str">
            <v>NB ML 4200 DVD/CDRW Combo</v>
          </cell>
          <cell r="C269">
            <v>0</v>
          </cell>
          <cell r="D269">
            <v>42</v>
          </cell>
        </row>
        <row r="270">
          <cell r="A270">
            <v>1480340</v>
          </cell>
          <cell r="B270" t="str">
            <v>Tastatur ML3300/ML7100 deutsch</v>
          </cell>
          <cell r="C270">
            <v>0</v>
          </cell>
          <cell r="D270">
            <v>10</v>
          </cell>
        </row>
        <row r="271">
          <cell r="A271">
            <v>1480349</v>
          </cell>
          <cell r="B271" t="str">
            <v>NB 1750/1770 Tastatur dt.</v>
          </cell>
          <cell r="C271">
            <v>0</v>
          </cell>
          <cell r="D271">
            <v>12</v>
          </cell>
        </row>
        <row r="272">
          <cell r="A272">
            <v>1480368</v>
          </cell>
          <cell r="B272" t="str">
            <v>2nd Akku Multibay für ML1750</v>
          </cell>
          <cell r="C272">
            <v>0</v>
          </cell>
          <cell r="D272">
            <v>69</v>
          </cell>
        </row>
        <row r="273">
          <cell r="A273">
            <v>1480369</v>
          </cell>
          <cell r="B273" t="str">
            <v>Akku für ML1750</v>
          </cell>
          <cell r="C273">
            <v>0</v>
          </cell>
          <cell r="D273">
            <v>59</v>
          </cell>
        </row>
        <row r="274">
          <cell r="A274">
            <v>1480370</v>
          </cell>
          <cell r="B274" t="str">
            <v>TV-Tuner DVBT+Analog für ML1750</v>
          </cell>
          <cell r="C274">
            <v>0</v>
          </cell>
          <cell r="D274">
            <v>69</v>
          </cell>
        </row>
        <row r="275">
          <cell r="A275">
            <v>1480372</v>
          </cell>
          <cell r="B275" t="str">
            <v>NB 2100/3300/1750/AURA7100 WLAN Modul802.11g</v>
          </cell>
          <cell r="C275">
            <v>0</v>
          </cell>
          <cell r="D275">
            <v>15</v>
          </cell>
        </row>
        <row r="276">
          <cell r="A276">
            <v>1480407</v>
          </cell>
          <cell r="B276" t="str">
            <v>NB MOBILE 1751 VGA Bo.ATI Mobility X1600 / 128MB</v>
          </cell>
          <cell r="C276">
            <v>0</v>
          </cell>
          <cell r="D276">
            <v>119</v>
          </cell>
        </row>
        <row r="277">
          <cell r="A277">
            <v>1480413</v>
          </cell>
          <cell r="B277" t="str">
            <v>NotebookPower Ersatzakku 9Cell</v>
          </cell>
          <cell r="C277">
            <v>0</v>
          </cell>
          <cell r="D277">
            <v>42</v>
          </cell>
        </row>
        <row r="278">
          <cell r="A278">
            <v>1480486</v>
          </cell>
          <cell r="B278" t="str">
            <v>NB MOBILE 210x/1210/4300/440x Netzteil 19V / 65W</v>
          </cell>
          <cell r="C278">
            <v>0</v>
          </cell>
          <cell r="D278">
            <v>29</v>
          </cell>
        </row>
        <row r="279">
          <cell r="A279">
            <v>1480833</v>
          </cell>
          <cell r="B279" t="str">
            <v>TERRA MOBILE Dockingstation 840 für 1540/1340</v>
          </cell>
          <cell r="C279">
            <v>0</v>
          </cell>
          <cell r="D279">
            <v>105</v>
          </cell>
        </row>
        <row r="280">
          <cell r="A280">
            <v>1519044</v>
          </cell>
          <cell r="B280" t="str">
            <v>Tasche Classic "Chicago" II</v>
          </cell>
          <cell r="C280">
            <v>0</v>
          </cell>
          <cell r="D280">
            <v>19</v>
          </cell>
        </row>
        <row r="281">
          <cell r="A281">
            <v>1519068</v>
          </cell>
          <cell r="B281" t="str">
            <v>NB TL501/3000/8575/8175 Li-Ion Akku</v>
          </cell>
          <cell r="C281">
            <v>0</v>
          </cell>
          <cell r="D281">
            <v>85</v>
          </cell>
        </row>
        <row r="282">
          <cell r="A282">
            <v>1519180</v>
          </cell>
          <cell r="B282" t="str">
            <v>Tasche NL600,Business 4xgroße Fächer,bis 17"</v>
          </cell>
          <cell r="C282">
            <v>0</v>
          </cell>
          <cell r="D282">
            <v>15</v>
          </cell>
        </row>
        <row r="283">
          <cell r="A283">
            <v>1519182</v>
          </cell>
          <cell r="B283" t="str">
            <v>Tasche Tulip NL510,carry bag,up to 17"***</v>
          </cell>
          <cell r="C283">
            <v>0</v>
          </cell>
          <cell r="D283">
            <v>13</v>
          </cell>
        </row>
        <row r="284">
          <cell r="A284">
            <v>1519186</v>
          </cell>
          <cell r="B284" t="str">
            <v>Tasche Dicota Executive Ledertasche N/1118/L 15,4"</v>
          </cell>
          <cell r="C284">
            <v>0</v>
          </cell>
          <cell r="D284">
            <v>79</v>
          </cell>
        </row>
        <row r="285">
          <cell r="A285">
            <v>1519234</v>
          </cell>
          <cell r="B285" t="str">
            <v>Tasche TERRA PRO800 15,6" bis 17"</v>
          </cell>
          <cell r="C285">
            <v>0</v>
          </cell>
          <cell r="D285">
            <v>19</v>
          </cell>
        </row>
        <row r="286">
          <cell r="A286">
            <v>1519241</v>
          </cell>
          <cell r="B286" t="str">
            <v>Tasche TERRA PRO804 für NB bis 15,6"</v>
          </cell>
          <cell r="C286">
            <v>0</v>
          </cell>
          <cell r="D286">
            <v>18.899999999999999</v>
          </cell>
        </row>
        <row r="287">
          <cell r="A287">
            <v>160</v>
          </cell>
          <cell r="B287" t="str">
            <v>Garantie 60 Monate (Bring-in)</v>
          </cell>
          <cell r="C287">
            <v>-14</v>
          </cell>
          <cell r="D287">
            <v>0</v>
          </cell>
        </row>
        <row r="288">
          <cell r="A288">
            <v>192</v>
          </cell>
          <cell r="B288" t="str">
            <v>Vor-Ort-Service 36 Monate</v>
          </cell>
          <cell r="C288">
            <v>0</v>
          </cell>
          <cell r="D288">
            <v>127</v>
          </cell>
        </row>
        <row r="289">
          <cell r="A289">
            <v>198</v>
          </cell>
          <cell r="B289" t="str">
            <v xml:space="preserve"> Vor-Ort-Service 12 Monate</v>
          </cell>
          <cell r="C289">
            <v>-1</v>
          </cell>
          <cell r="D289">
            <v>23</v>
          </cell>
        </row>
        <row r="290">
          <cell r="A290" t="str">
            <v>2000001M</v>
          </cell>
          <cell r="B290" t="str">
            <v>Basis Modell  SR-1300 Singleprozessor</v>
          </cell>
          <cell r="C290">
            <v>0</v>
          </cell>
          <cell r="D290">
            <v>311.5</v>
          </cell>
        </row>
        <row r="291">
          <cell r="A291" t="str">
            <v>2000002M</v>
          </cell>
          <cell r="B291" t="str">
            <v>Basis Modell  SR-1300 Dualprozessor</v>
          </cell>
          <cell r="C291">
            <v>0</v>
          </cell>
          <cell r="D291">
            <v>2390</v>
          </cell>
        </row>
        <row r="292">
          <cell r="A292" t="str">
            <v>2000003M</v>
          </cell>
          <cell r="B292" t="str">
            <v>19" 2 HE IPC Metallgehäuse, ohne Netzteil</v>
          </cell>
          <cell r="C292">
            <v>0</v>
          </cell>
          <cell r="D292">
            <v>207</v>
          </cell>
        </row>
        <row r="293">
          <cell r="A293" t="str">
            <v>2000004M</v>
          </cell>
          <cell r="B293" t="str">
            <v>AESCU.certus Gehäuse - Wandversion</v>
          </cell>
          <cell r="C293">
            <v>0</v>
          </cell>
          <cell r="D293">
            <v>360</v>
          </cell>
        </row>
        <row r="294">
          <cell r="A294" t="str">
            <v>2000005M</v>
          </cell>
          <cell r="B294" t="str">
            <v>MCD Medical Line Panel PC 19"</v>
          </cell>
          <cell r="C294">
            <v>0</v>
          </cell>
          <cell r="D294">
            <v>3040</v>
          </cell>
        </row>
        <row r="295">
          <cell r="A295" t="str">
            <v>2000006M</v>
          </cell>
          <cell r="B295" t="str">
            <v>MCD Medical Line Panel PC 21"</v>
          </cell>
          <cell r="C295">
            <v>0</v>
          </cell>
          <cell r="D295">
            <v>3508</v>
          </cell>
        </row>
        <row r="296">
          <cell r="A296" t="str">
            <v>2000007M</v>
          </cell>
          <cell r="B296" t="str">
            <v xml:space="preserve"> AESCU.certus für Gerätewagen</v>
          </cell>
          <cell r="C296">
            <v>0</v>
          </cell>
          <cell r="D296">
            <v>1260</v>
          </cell>
        </row>
        <row r="297">
          <cell r="A297" t="str">
            <v>2000008M</v>
          </cell>
          <cell r="B297" t="str">
            <v>T10Y MCA Tablet PC</v>
          </cell>
          <cell r="C297">
            <v>0</v>
          </cell>
          <cell r="D297">
            <v>1453</v>
          </cell>
        </row>
        <row r="298">
          <cell r="A298" t="str">
            <v>2000009M</v>
          </cell>
          <cell r="B298" t="str">
            <v>T10Y MCA Tablet PC 3G</v>
          </cell>
          <cell r="C298">
            <v>0</v>
          </cell>
          <cell r="D298">
            <v>1774</v>
          </cell>
        </row>
        <row r="299">
          <cell r="A299" t="str">
            <v>2000010M</v>
          </cell>
          <cell r="B299" t="str">
            <v>T10Y MCA Tablet PC MG</v>
          </cell>
          <cell r="C299">
            <v>0</v>
          </cell>
          <cell r="D299">
            <v>1703.6</v>
          </cell>
        </row>
        <row r="300">
          <cell r="A300" t="str">
            <v>2000011M</v>
          </cell>
          <cell r="B300" t="str">
            <v>T10Y MCA Tablet PC 3G MG</v>
          </cell>
          <cell r="C300">
            <v>0</v>
          </cell>
          <cell r="D300">
            <v>1797.4</v>
          </cell>
        </row>
        <row r="301">
          <cell r="A301" t="str">
            <v>2000012M</v>
          </cell>
          <cell r="B301" t="str">
            <v>AESCU.certus Gehäuse - Standversion</v>
          </cell>
          <cell r="C301">
            <v>0</v>
          </cell>
          <cell r="D301">
            <v>360</v>
          </cell>
        </row>
        <row r="302">
          <cell r="A302" t="str">
            <v>2000013M</v>
          </cell>
          <cell r="B302" t="str">
            <v>MCD Medical Line THA.leia  19"</v>
          </cell>
          <cell r="C302">
            <v>0</v>
          </cell>
          <cell r="D302">
            <v>1154.68</v>
          </cell>
        </row>
        <row r="303">
          <cell r="A303" t="str">
            <v>2000014M</v>
          </cell>
          <cell r="B303" t="str">
            <v>Tarox - Modula Business Classic</v>
          </cell>
          <cell r="C303">
            <v>0</v>
          </cell>
          <cell r="D303">
            <v>589</v>
          </cell>
        </row>
        <row r="304">
          <cell r="A304" t="str">
            <v>2000015M</v>
          </cell>
          <cell r="B304" t="str">
            <v>Tarox - Modula SLIM - Mobile Fascination</v>
          </cell>
          <cell r="C304">
            <v>0</v>
          </cell>
          <cell r="D304">
            <v>539</v>
          </cell>
        </row>
        <row r="305">
          <cell r="A305" t="str">
            <v>2000016M</v>
          </cell>
          <cell r="B305" t="str">
            <v>Slate Tablet J3400</v>
          </cell>
          <cell r="C305">
            <v>0</v>
          </cell>
          <cell r="D305">
            <v>1870</v>
          </cell>
        </row>
        <row r="306">
          <cell r="A306" t="str">
            <v>2000017M</v>
          </cell>
          <cell r="B306" t="str">
            <v>Motion Garantieerweiterung 1 auf 2 Jahre</v>
          </cell>
          <cell r="C306">
            <v>0</v>
          </cell>
          <cell r="D306">
            <v>70</v>
          </cell>
        </row>
        <row r="307">
          <cell r="A307" t="str">
            <v>2000018M</v>
          </cell>
          <cell r="B307" t="str">
            <v>Slate Tablet J3400</v>
          </cell>
          <cell r="C307">
            <v>0</v>
          </cell>
          <cell r="D307">
            <v>1870</v>
          </cell>
        </row>
        <row r="308">
          <cell r="A308">
            <v>2000019</v>
          </cell>
          <cell r="B308" t="str">
            <v>MCD Medical Line Panel PC 22" - Pilot</v>
          </cell>
          <cell r="C308">
            <v>0</v>
          </cell>
          <cell r="D308">
            <v>4482.55</v>
          </cell>
        </row>
        <row r="309">
          <cell r="A309" t="str">
            <v>2000019M</v>
          </cell>
          <cell r="B309" t="str">
            <v>MCD Medical Line THA.leia 19" Touch</v>
          </cell>
          <cell r="C309">
            <v>4</v>
          </cell>
          <cell r="D309">
            <v>1155</v>
          </cell>
        </row>
        <row r="310">
          <cell r="A310" t="str">
            <v>2000020M</v>
          </cell>
          <cell r="B310" t="str">
            <v>T10L MCA Tablet PC</v>
          </cell>
          <cell r="C310">
            <v>0</v>
          </cell>
          <cell r="D310">
            <v>500</v>
          </cell>
        </row>
        <row r="311">
          <cell r="A311" t="str">
            <v>2000021M</v>
          </cell>
          <cell r="B311" t="str">
            <v>T10Y1-Merom U2100 (1.06GHz) 10,4"</v>
          </cell>
          <cell r="C311">
            <v>0</v>
          </cell>
          <cell r="D311">
            <v>1119</v>
          </cell>
        </row>
        <row r="312">
          <cell r="A312" t="str">
            <v>2000022M</v>
          </cell>
          <cell r="B312" t="str">
            <v>USB  Dongle für T10Y1-Merom U2100</v>
          </cell>
          <cell r="C312">
            <v>0</v>
          </cell>
          <cell r="D312">
            <v>60</v>
          </cell>
        </row>
        <row r="313">
          <cell r="A313" t="str">
            <v>2000023M</v>
          </cell>
          <cell r="B313" t="str">
            <v>T10Y1-Cel.M U473 (1.06GHz) 10,4"</v>
          </cell>
          <cell r="C313">
            <v>0</v>
          </cell>
          <cell r="D313">
            <v>1320</v>
          </cell>
        </row>
        <row r="314">
          <cell r="A314" t="str">
            <v>2000024M</v>
          </cell>
          <cell r="B314" t="str">
            <v>ClinScanner Cabinet</v>
          </cell>
          <cell r="C314">
            <v>0</v>
          </cell>
          <cell r="D314">
            <v>459</v>
          </cell>
        </row>
        <row r="315">
          <cell r="A315" t="str">
            <v>2000025M</v>
          </cell>
          <cell r="B315" t="str">
            <v>MCD Medical Line THA.leia Panel PC 19" PCI</v>
          </cell>
          <cell r="C315">
            <v>0</v>
          </cell>
          <cell r="D315">
            <v>978.5</v>
          </cell>
        </row>
        <row r="316">
          <cell r="A316" t="str">
            <v>2000026M</v>
          </cell>
          <cell r="B316" t="str">
            <v>MCD Medical Line THA.leia Panel PC 22"</v>
          </cell>
          <cell r="C316">
            <v>0</v>
          </cell>
          <cell r="D316">
            <v>2869</v>
          </cell>
        </row>
        <row r="317">
          <cell r="A317" t="str">
            <v>2000027M</v>
          </cell>
          <cell r="B317" t="str">
            <v>T12L MCA Tablet PC</v>
          </cell>
          <cell r="C317">
            <v>0</v>
          </cell>
          <cell r="D317">
            <v>1020</v>
          </cell>
        </row>
        <row r="318">
          <cell r="A318" t="str">
            <v>2000028M</v>
          </cell>
          <cell r="B318" t="str">
            <v>MCD Medical Line THA.leia Panel PC 19" PCI Touch</v>
          </cell>
          <cell r="C318">
            <v>0</v>
          </cell>
          <cell r="D318">
            <v>1155</v>
          </cell>
        </row>
        <row r="319">
          <cell r="A319" t="str">
            <v>2000029M</v>
          </cell>
          <cell r="B319" t="str">
            <v>SlimBook P210 schwarz, 1.06GHz/2GB RAM/160GB HDD</v>
          </cell>
          <cell r="C319">
            <v>0</v>
          </cell>
          <cell r="D319">
            <v>900</v>
          </cell>
        </row>
        <row r="320">
          <cell r="A320" t="str">
            <v>2000030M</v>
          </cell>
          <cell r="B320" t="str">
            <v>T12L MCA Tablet PC/1 GB</v>
          </cell>
          <cell r="C320">
            <v>0</v>
          </cell>
          <cell r="D320">
            <v>1049</v>
          </cell>
        </row>
        <row r="321">
          <cell r="A321" t="str">
            <v>2000031M</v>
          </cell>
          <cell r="B321" t="str">
            <v>MCD Medical Line THA.leia Panel PC 19" PCI</v>
          </cell>
          <cell r="C321">
            <v>0</v>
          </cell>
          <cell r="D321">
            <v>1156.5</v>
          </cell>
        </row>
        <row r="322">
          <cell r="A322" t="str">
            <v>2000032M</v>
          </cell>
          <cell r="B322" t="str">
            <v>MCD Medical Line THA.leia Panel PC 19" PCI Touch</v>
          </cell>
          <cell r="C322">
            <v>0</v>
          </cell>
          <cell r="D322">
            <v>1333</v>
          </cell>
        </row>
        <row r="323">
          <cell r="A323" t="str">
            <v>2000033M-00_B</v>
          </cell>
          <cell r="B323" t="str">
            <v>MCD Medical Line PANA.ceia²</v>
          </cell>
          <cell r="C323">
            <v>0</v>
          </cell>
          <cell r="D323">
            <v>0</v>
          </cell>
        </row>
        <row r="324">
          <cell r="A324" t="str">
            <v>2000033M-01_B</v>
          </cell>
          <cell r="B324" t="str">
            <v>MCD Medical Line PANA.ceia²</v>
          </cell>
          <cell r="C324">
            <v>0</v>
          </cell>
          <cell r="D324">
            <v>0</v>
          </cell>
        </row>
        <row r="325">
          <cell r="A325" t="str">
            <v>2000033M-99_A</v>
          </cell>
          <cell r="B325" t="str">
            <v>Medical-Cardio PC i5 Schiller</v>
          </cell>
          <cell r="C325">
            <v>0</v>
          </cell>
          <cell r="D325">
            <v>869</v>
          </cell>
        </row>
        <row r="326">
          <cell r="A326" t="str">
            <v>2000033M_A</v>
          </cell>
          <cell r="B326" t="str">
            <v>MCD Medical Line PANA.ceia²</v>
          </cell>
          <cell r="C326">
            <v>0</v>
          </cell>
          <cell r="D326">
            <v>0</v>
          </cell>
        </row>
        <row r="327">
          <cell r="A327" t="str">
            <v>2000033M_B</v>
          </cell>
          <cell r="B327" t="str">
            <v>MCD Medical Line PANA.ceia²</v>
          </cell>
          <cell r="C327">
            <v>0</v>
          </cell>
          <cell r="D327">
            <v>1051.3499999999999</v>
          </cell>
        </row>
        <row r="328">
          <cell r="A328" t="str">
            <v>2000033M_B-01</v>
          </cell>
          <cell r="B328" t="str">
            <v>MCD Medical Line PANA.ceia²</v>
          </cell>
          <cell r="C328">
            <v>0</v>
          </cell>
          <cell r="D328">
            <v>784</v>
          </cell>
        </row>
        <row r="329">
          <cell r="A329" t="str">
            <v>2000033M_B-02</v>
          </cell>
          <cell r="B329" t="str">
            <v>MCD Medical Line PANA.ceia² Schiller Med</v>
          </cell>
          <cell r="C329">
            <v>0</v>
          </cell>
          <cell r="D329">
            <v>842</v>
          </cell>
        </row>
        <row r="330">
          <cell r="A330" t="str">
            <v>2000033M_B-03</v>
          </cell>
          <cell r="B330" t="str">
            <v>MCD Medical Line PANA.ceia² Dis-Med</v>
          </cell>
          <cell r="C330">
            <v>0</v>
          </cell>
          <cell r="D330">
            <v>0</v>
          </cell>
        </row>
        <row r="331">
          <cell r="A331" t="str">
            <v>2000033M_C</v>
          </cell>
          <cell r="B331" t="str">
            <v>MCD Medical Line PANA.ceia²</v>
          </cell>
          <cell r="C331">
            <v>0</v>
          </cell>
          <cell r="D331">
            <v>0</v>
          </cell>
        </row>
        <row r="332">
          <cell r="A332" t="str">
            <v>2000033M_C-01</v>
          </cell>
          <cell r="B332" t="str">
            <v>MCD Medical Line PANA.ceia²</v>
          </cell>
          <cell r="C332">
            <v>0</v>
          </cell>
          <cell r="D332">
            <v>776.97</v>
          </cell>
        </row>
        <row r="333">
          <cell r="A333" t="str">
            <v>2000033M_C-02</v>
          </cell>
          <cell r="B333" t="str">
            <v>MCD Medical Line PANA.ceia² Schiller Med</v>
          </cell>
          <cell r="C333">
            <v>0</v>
          </cell>
          <cell r="D333">
            <v>0</v>
          </cell>
        </row>
        <row r="334">
          <cell r="A334" t="str">
            <v>2000033M_C-03</v>
          </cell>
          <cell r="B334" t="str">
            <v>MCD Medical Line PANA.ceia² Dis-Med</v>
          </cell>
          <cell r="C334">
            <v>0</v>
          </cell>
          <cell r="D334">
            <v>0</v>
          </cell>
        </row>
        <row r="335">
          <cell r="A335" t="str">
            <v>2000033M_C-04</v>
          </cell>
          <cell r="B335" t="str">
            <v>MCD Medical Line PANA.ceia²</v>
          </cell>
          <cell r="C335">
            <v>0</v>
          </cell>
          <cell r="D335">
            <v>0</v>
          </cell>
        </row>
        <row r="336">
          <cell r="A336" t="str">
            <v>2000033M_D</v>
          </cell>
          <cell r="B336" t="str">
            <v>MCD Medical Line PANA.ceia²</v>
          </cell>
          <cell r="C336">
            <v>0</v>
          </cell>
          <cell r="D336">
            <v>0</v>
          </cell>
        </row>
        <row r="337">
          <cell r="A337" t="str">
            <v>2000033M_D-01</v>
          </cell>
          <cell r="B337" t="str">
            <v>MCD Medical Line PANA.ceia²</v>
          </cell>
          <cell r="C337">
            <v>0</v>
          </cell>
          <cell r="D337">
            <v>778.39</v>
          </cell>
        </row>
        <row r="338">
          <cell r="A338" t="str">
            <v>2000033M_D-02</v>
          </cell>
          <cell r="B338" t="str">
            <v>MCD Medical Line PANA.ceia² Schiller Med</v>
          </cell>
          <cell r="C338">
            <v>0</v>
          </cell>
          <cell r="D338">
            <v>815</v>
          </cell>
        </row>
        <row r="339">
          <cell r="A339" t="str">
            <v>2000033M_D-03</v>
          </cell>
          <cell r="B339" t="str">
            <v>MCD Medical Line PANA.ceia² Dis-Med</v>
          </cell>
          <cell r="C339">
            <v>0</v>
          </cell>
          <cell r="D339">
            <v>685</v>
          </cell>
        </row>
        <row r="340">
          <cell r="A340" t="str">
            <v>2000033M_D-04</v>
          </cell>
          <cell r="B340" t="str">
            <v>MCD Medical Line PANA.ceia²</v>
          </cell>
          <cell r="C340">
            <v>0</v>
          </cell>
          <cell r="D340">
            <v>817.35</v>
          </cell>
        </row>
        <row r="341">
          <cell r="A341" t="str">
            <v>2000033M_D-05</v>
          </cell>
          <cell r="B341" t="str">
            <v>MCD Medical Line PANA.ceia²</v>
          </cell>
          <cell r="C341">
            <v>0</v>
          </cell>
          <cell r="D341">
            <v>803.99</v>
          </cell>
        </row>
        <row r="342">
          <cell r="A342" t="str">
            <v>2000033M_D-06</v>
          </cell>
          <cell r="B342" t="str">
            <v>MCD Medical Line PANA.ceia²</v>
          </cell>
          <cell r="C342">
            <v>0</v>
          </cell>
          <cell r="D342">
            <v>839</v>
          </cell>
        </row>
        <row r="343">
          <cell r="A343" t="str">
            <v>2000033M_D-07</v>
          </cell>
          <cell r="B343" t="str">
            <v>MCD Medical Line PANA.ceia²</v>
          </cell>
          <cell r="C343">
            <v>0</v>
          </cell>
          <cell r="D343">
            <v>722.15</v>
          </cell>
        </row>
        <row r="344">
          <cell r="A344" t="str">
            <v>2000033M_D-08</v>
          </cell>
          <cell r="B344" t="str">
            <v>MCD Medical Line PANA.ceia²</v>
          </cell>
          <cell r="C344">
            <v>0</v>
          </cell>
          <cell r="D344">
            <v>886.97</v>
          </cell>
        </row>
        <row r="345">
          <cell r="A345" t="str">
            <v>2000033M_D-09</v>
          </cell>
          <cell r="B345" t="str">
            <v>MCD Medical Line PANA.ceia²</v>
          </cell>
          <cell r="C345">
            <v>0</v>
          </cell>
          <cell r="D345">
            <v>740.06</v>
          </cell>
        </row>
        <row r="346">
          <cell r="A346" t="str">
            <v>2000033M_D-10</v>
          </cell>
          <cell r="B346" t="str">
            <v>MCD Medical Line PANA.ceia²</v>
          </cell>
          <cell r="C346">
            <v>1</v>
          </cell>
          <cell r="D346">
            <v>900.83</v>
          </cell>
        </row>
        <row r="347">
          <cell r="A347" t="str">
            <v>2000033M_E</v>
          </cell>
          <cell r="B347" t="str">
            <v>MCD Medical Line PANA.ceia²</v>
          </cell>
          <cell r="C347">
            <v>0</v>
          </cell>
          <cell r="D347">
            <v>0</v>
          </cell>
        </row>
        <row r="348">
          <cell r="A348" t="str">
            <v>2000033M_E-01</v>
          </cell>
          <cell r="B348" t="str">
            <v>MCD Medical Line PANA.ceia²</v>
          </cell>
          <cell r="C348">
            <v>0</v>
          </cell>
          <cell r="D348">
            <v>778.02</v>
          </cell>
        </row>
        <row r="349">
          <cell r="A349" t="str">
            <v>2000033M_E-02</v>
          </cell>
          <cell r="B349" t="str">
            <v>MCD Medical Line PANA.ceia²</v>
          </cell>
          <cell r="C349">
            <v>0</v>
          </cell>
          <cell r="D349">
            <v>816</v>
          </cell>
        </row>
        <row r="350">
          <cell r="A350" t="str">
            <v>2000033M_E-03</v>
          </cell>
          <cell r="B350" t="str">
            <v>MCD Medical Line PANA.ceia²</v>
          </cell>
          <cell r="C350">
            <v>0</v>
          </cell>
          <cell r="D350">
            <v>789.47</v>
          </cell>
        </row>
        <row r="351">
          <cell r="A351" t="str">
            <v>2000033M_E-04</v>
          </cell>
          <cell r="B351" t="str">
            <v>MCD Medical Line PANA.ceia²</v>
          </cell>
          <cell r="C351">
            <v>0</v>
          </cell>
          <cell r="D351">
            <v>759.23</v>
          </cell>
        </row>
        <row r="352">
          <cell r="A352" t="str">
            <v>2000033M_E-05</v>
          </cell>
          <cell r="B352" t="str">
            <v>MCD Medical Line PANA.ceia²</v>
          </cell>
          <cell r="C352">
            <v>0</v>
          </cell>
          <cell r="D352">
            <v>911.15</v>
          </cell>
        </row>
        <row r="353">
          <cell r="A353" t="str">
            <v>2000033M_E-06</v>
          </cell>
          <cell r="B353" t="str">
            <v>MCD Medical Line PANA.ceia²</v>
          </cell>
          <cell r="C353">
            <v>0</v>
          </cell>
          <cell r="D353">
            <v>757.23</v>
          </cell>
        </row>
        <row r="354">
          <cell r="A354" t="str">
            <v>2000033M_E-07</v>
          </cell>
          <cell r="B354" t="str">
            <v>MCD Medical Line PANA.ceia²</v>
          </cell>
          <cell r="C354">
            <v>0</v>
          </cell>
          <cell r="D354">
            <v>754.7</v>
          </cell>
        </row>
        <row r="355">
          <cell r="A355" t="str">
            <v>2000033M_E-08</v>
          </cell>
          <cell r="B355" t="str">
            <v>MCD Medical Line PANA.ceia²</v>
          </cell>
          <cell r="C355">
            <v>0</v>
          </cell>
          <cell r="D355">
            <v>960.05</v>
          </cell>
        </row>
        <row r="356">
          <cell r="A356" t="str">
            <v>2000033M_E-09</v>
          </cell>
          <cell r="B356" t="str">
            <v>MCD Medical Line PANA.ceia²</v>
          </cell>
          <cell r="C356">
            <v>0</v>
          </cell>
          <cell r="D356">
            <v>739.93</v>
          </cell>
        </row>
        <row r="357">
          <cell r="A357" t="str">
            <v>2000033M_E-10</v>
          </cell>
          <cell r="B357" t="str">
            <v>MCD Medical Line PANA.ceia²</v>
          </cell>
          <cell r="C357">
            <v>0</v>
          </cell>
          <cell r="D357">
            <v>911.29</v>
          </cell>
        </row>
        <row r="358">
          <cell r="A358" t="str">
            <v>2000033M_E-11</v>
          </cell>
          <cell r="B358" t="str">
            <v>MCD Medical Line PANA.ceia²</v>
          </cell>
          <cell r="C358">
            <v>0</v>
          </cell>
          <cell r="D358">
            <v>795.79</v>
          </cell>
        </row>
        <row r="359">
          <cell r="A359" t="str">
            <v>2000033M_E-12</v>
          </cell>
          <cell r="B359" t="str">
            <v>MCD Medical Line PANA.ceia²</v>
          </cell>
          <cell r="C359">
            <v>0</v>
          </cell>
          <cell r="D359">
            <v>0</v>
          </cell>
        </row>
        <row r="360">
          <cell r="A360" t="str">
            <v>2000033M_F</v>
          </cell>
          <cell r="B360" t="str">
            <v>MCD Medical Line PANA.ceia²</v>
          </cell>
          <cell r="C360">
            <v>0</v>
          </cell>
          <cell r="D360">
            <v>0</v>
          </cell>
        </row>
        <row r="361">
          <cell r="A361" t="str">
            <v>2000033M_F-00</v>
          </cell>
          <cell r="B361" t="str">
            <v>MCD Medical Line PANA.ceia²</v>
          </cell>
          <cell r="C361">
            <v>0</v>
          </cell>
          <cell r="D361">
            <v>0</v>
          </cell>
        </row>
        <row r="362">
          <cell r="A362" t="str">
            <v>2000033M_F-01</v>
          </cell>
          <cell r="B362" t="str">
            <v>MCD Medical Line PANA.ceia²</v>
          </cell>
          <cell r="C362">
            <v>0</v>
          </cell>
          <cell r="D362">
            <v>778.28</v>
          </cell>
        </row>
        <row r="363">
          <cell r="A363" t="str">
            <v>2000033M_F-02</v>
          </cell>
          <cell r="B363" t="str">
            <v>MCD Medical Line PANA.ceia²</v>
          </cell>
          <cell r="C363">
            <v>0</v>
          </cell>
          <cell r="D363">
            <v>819.76</v>
          </cell>
        </row>
        <row r="364">
          <cell r="A364" t="str">
            <v>2000033M_F-03</v>
          </cell>
          <cell r="B364" t="str">
            <v>MCD Medical Line PANA.ceia²</v>
          </cell>
          <cell r="C364">
            <v>0</v>
          </cell>
          <cell r="D364">
            <v>790.04</v>
          </cell>
        </row>
        <row r="365">
          <cell r="A365" t="str">
            <v>2000033M_F-04</v>
          </cell>
          <cell r="B365" t="str">
            <v>MCD Medical Line PANA.ceia²</v>
          </cell>
          <cell r="C365">
            <v>0</v>
          </cell>
          <cell r="D365">
            <v>759.98</v>
          </cell>
        </row>
        <row r="366">
          <cell r="A366" t="str">
            <v>2000033M_F-05</v>
          </cell>
          <cell r="B366" t="str">
            <v>MCD Medical Line PANA.ceia²</v>
          </cell>
          <cell r="C366">
            <v>0</v>
          </cell>
          <cell r="D366">
            <v>908.32</v>
          </cell>
        </row>
        <row r="367">
          <cell r="A367" t="str">
            <v>2000033M_F-06</v>
          </cell>
          <cell r="B367" t="str">
            <v>MCD Medical Line PANA.ceia²</v>
          </cell>
          <cell r="C367">
            <v>0</v>
          </cell>
          <cell r="D367">
            <v>758.19</v>
          </cell>
        </row>
        <row r="368">
          <cell r="A368" t="str">
            <v>2000033M_F-07</v>
          </cell>
          <cell r="B368" t="str">
            <v>MCD Medical Line PANA.ceia²</v>
          </cell>
          <cell r="C368">
            <v>0</v>
          </cell>
          <cell r="D368">
            <v>755.19</v>
          </cell>
        </row>
        <row r="369">
          <cell r="A369" t="str">
            <v>2000033M_F-08</v>
          </cell>
          <cell r="B369" t="str">
            <v>MCD Medical Line PANA.ceia²</v>
          </cell>
          <cell r="C369">
            <v>0</v>
          </cell>
          <cell r="D369">
            <v>956.47</v>
          </cell>
        </row>
        <row r="370">
          <cell r="A370" t="str">
            <v>2000033M_F-09</v>
          </cell>
          <cell r="B370" t="str">
            <v>MCD Medical Line PANA.ceia²</v>
          </cell>
          <cell r="C370">
            <v>0</v>
          </cell>
          <cell r="D370">
            <v>740.46</v>
          </cell>
        </row>
        <row r="371">
          <cell r="A371" t="str">
            <v>2000033M_F-10</v>
          </cell>
          <cell r="B371" t="str">
            <v>MCD Medical Line PANA.ceia²</v>
          </cell>
          <cell r="C371">
            <v>0</v>
          </cell>
          <cell r="D371">
            <v>906.13</v>
          </cell>
        </row>
        <row r="372">
          <cell r="A372" t="str">
            <v>2000033M_F-11</v>
          </cell>
          <cell r="B372" t="str">
            <v>MCD Medical Line PANA.ceia²</v>
          </cell>
          <cell r="C372">
            <v>0</v>
          </cell>
          <cell r="D372">
            <v>790.78</v>
          </cell>
        </row>
        <row r="373">
          <cell r="A373" t="str">
            <v>2000033M_F-12</v>
          </cell>
          <cell r="B373" t="str">
            <v>MCD Medical Line PANA.ceia²</v>
          </cell>
          <cell r="C373">
            <v>0</v>
          </cell>
          <cell r="D373">
            <v>815.04</v>
          </cell>
        </row>
        <row r="374">
          <cell r="A374" t="str">
            <v>2000033M_F-13</v>
          </cell>
          <cell r="B374" t="str">
            <v>MCD Medical Line PANA.ceia²</v>
          </cell>
          <cell r="C374">
            <v>0</v>
          </cell>
          <cell r="D374">
            <v>895.75</v>
          </cell>
        </row>
        <row r="375">
          <cell r="A375" t="str">
            <v>2000033M_F-14</v>
          </cell>
          <cell r="B375" t="str">
            <v>MCD Medical Line PANA.ceia²</v>
          </cell>
          <cell r="C375">
            <v>0</v>
          </cell>
          <cell r="D375">
            <v>923.95</v>
          </cell>
        </row>
        <row r="376">
          <cell r="A376" t="str">
            <v>2000033M_F-15</v>
          </cell>
          <cell r="B376" t="str">
            <v>MCD Medical Line PANA.ceia²</v>
          </cell>
          <cell r="C376">
            <v>0</v>
          </cell>
          <cell r="D376">
            <v>884.5</v>
          </cell>
        </row>
        <row r="377">
          <cell r="A377" t="str">
            <v>2000033M_G</v>
          </cell>
          <cell r="B377" t="str">
            <v>MCD Medical Line PANA.ceia²</v>
          </cell>
          <cell r="C377">
            <v>0</v>
          </cell>
          <cell r="D377">
            <v>409.17</v>
          </cell>
        </row>
        <row r="378">
          <cell r="A378" t="str">
            <v>2000033M_G-04</v>
          </cell>
          <cell r="B378" t="str">
            <v>MCD Medical Line PANA.ceia²</v>
          </cell>
          <cell r="C378">
            <v>0</v>
          </cell>
          <cell r="D378">
            <v>747.47</v>
          </cell>
        </row>
        <row r="379">
          <cell r="A379" t="str">
            <v>2000033M_G-13</v>
          </cell>
          <cell r="B379" t="str">
            <v>MCD Medical Line PANA.ceia²</v>
          </cell>
          <cell r="C379">
            <v>0</v>
          </cell>
          <cell r="D379">
            <v>889.33</v>
          </cell>
        </row>
        <row r="380">
          <cell r="A380" t="str">
            <v>2000033M_G-14</v>
          </cell>
          <cell r="B380" t="str">
            <v>MCD Medical Line PANA.ceia²</v>
          </cell>
          <cell r="C380">
            <v>0</v>
          </cell>
          <cell r="D380">
            <v>946.54</v>
          </cell>
        </row>
        <row r="381">
          <cell r="A381" t="str">
            <v>2000033M_G-16</v>
          </cell>
          <cell r="B381" t="str">
            <v>MCD Medical Line PANA.ceia²</v>
          </cell>
          <cell r="C381">
            <v>0</v>
          </cell>
          <cell r="D381">
            <v>575.79</v>
          </cell>
        </row>
        <row r="382">
          <cell r="A382" t="str">
            <v>2000033M_G-17</v>
          </cell>
          <cell r="B382" t="str">
            <v>MCD Medical Line PANA.ceia²</v>
          </cell>
          <cell r="C382">
            <v>0</v>
          </cell>
          <cell r="D382">
            <v>961.8</v>
          </cell>
        </row>
        <row r="383">
          <cell r="A383" t="str">
            <v>2000033M_H</v>
          </cell>
          <cell r="B383" t="str">
            <v>MCD Medical Line PANA.ceia²</v>
          </cell>
          <cell r="C383">
            <v>0</v>
          </cell>
          <cell r="D383">
            <v>409.2</v>
          </cell>
        </row>
        <row r="384">
          <cell r="A384" t="str">
            <v>2000033M_H-00</v>
          </cell>
          <cell r="B384" t="str">
            <v>MCD Medical Line PANA.ceia²</v>
          </cell>
          <cell r="C384">
            <v>0</v>
          </cell>
          <cell r="D384">
            <v>774.6</v>
          </cell>
        </row>
        <row r="385">
          <cell r="A385" t="str">
            <v>2000033M_H-04</v>
          </cell>
          <cell r="B385" t="str">
            <v>MCD Medical Line PANA.ceia²</v>
          </cell>
          <cell r="C385">
            <v>0</v>
          </cell>
          <cell r="D385">
            <v>754.11</v>
          </cell>
        </row>
        <row r="386">
          <cell r="A386" t="str">
            <v>2000033M_H-13</v>
          </cell>
          <cell r="B386" t="str">
            <v>MCD Medical Line PANA.ceia²</v>
          </cell>
          <cell r="C386">
            <v>0</v>
          </cell>
          <cell r="D386">
            <v>977.75</v>
          </cell>
        </row>
        <row r="387">
          <cell r="A387" t="str">
            <v>2000033M_H-14</v>
          </cell>
          <cell r="B387" t="str">
            <v>MCD Medical Line PANA.ceia²</v>
          </cell>
          <cell r="C387">
            <v>0</v>
          </cell>
          <cell r="D387">
            <v>964.71</v>
          </cell>
        </row>
        <row r="388">
          <cell r="A388" t="str">
            <v>2000033M_H-16</v>
          </cell>
          <cell r="B388" t="str">
            <v>MCD Medical Line PANA.ceia²</v>
          </cell>
          <cell r="C388">
            <v>0</v>
          </cell>
          <cell r="D388">
            <v>565.79999999999995</v>
          </cell>
        </row>
        <row r="389">
          <cell r="A389" t="str">
            <v>2000033M_H-17</v>
          </cell>
          <cell r="B389" t="str">
            <v>MCD Medical Line PANA.ceia²</v>
          </cell>
          <cell r="C389">
            <v>0</v>
          </cell>
          <cell r="D389">
            <v>978.71</v>
          </cell>
        </row>
        <row r="390">
          <cell r="A390" t="str">
            <v>2000033M_H-18</v>
          </cell>
          <cell r="B390" t="str">
            <v>MCD Medical Line PANA.ceia²</v>
          </cell>
          <cell r="C390">
            <v>0</v>
          </cell>
          <cell r="D390">
            <v>761.35</v>
          </cell>
        </row>
        <row r="391">
          <cell r="A391" t="str">
            <v>2000033M_I</v>
          </cell>
          <cell r="B391" t="str">
            <v>MCD Medical Line PANA.ceia²</v>
          </cell>
          <cell r="C391">
            <v>0</v>
          </cell>
          <cell r="D391">
            <v>418</v>
          </cell>
        </row>
        <row r="392">
          <cell r="A392" t="str">
            <v>2000033M_I-04</v>
          </cell>
          <cell r="B392" t="str">
            <v>MCD Medical Line PANA.ceia²</v>
          </cell>
          <cell r="C392">
            <v>0</v>
          </cell>
          <cell r="D392">
            <v>742.82</v>
          </cell>
        </row>
        <row r="393">
          <cell r="A393" t="str">
            <v>2000033M_I-06</v>
          </cell>
          <cell r="B393" t="str">
            <v>MCD Medical Line PANA.ceia²</v>
          </cell>
          <cell r="C393">
            <v>0</v>
          </cell>
          <cell r="D393">
            <v>740.82</v>
          </cell>
        </row>
        <row r="394">
          <cell r="A394" t="str">
            <v>2000033M_I-13</v>
          </cell>
          <cell r="B394" t="str">
            <v>MCD Medical Line PANA.ceia²</v>
          </cell>
          <cell r="C394">
            <v>0</v>
          </cell>
          <cell r="D394">
            <v>962.13</v>
          </cell>
        </row>
        <row r="395">
          <cell r="A395" t="str">
            <v>2000033M_I-16</v>
          </cell>
          <cell r="B395" t="str">
            <v>MCD Medical Line PANA.ceia²</v>
          </cell>
          <cell r="C395">
            <v>0</v>
          </cell>
          <cell r="D395">
            <v>570.39</v>
          </cell>
        </row>
        <row r="396">
          <cell r="A396" t="str">
            <v>2000033M_I-19</v>
          </cell>
          <cell r="B396" t="str">
            <v>MCD Medical Line PANA.ceia²</v>
          </cell>
          <cell r="C396">
            <v>0</v>
          </cell>
          <cell r="D396">
            <v>780</v>
          </cell>
        </row>
        <row r="397">
          <cell r="A397" t="str">
            <v>2000033M_I-20</v>
          </cell>
          <cell r="B397" t="str">
            <v>MCD Medical Line PANA.ceia²</v>
          </cell>
          <cell r="C397">
            <v>0</v>
          </cell>
          <cell r="D397">
            <v>788</v>
          </cell>
        </row>
        <row r="398">
          <cell r="A398" t="str">
            <v>2000033M_J</v>
          </cell>
          <cell r="B398" t="str">
            <v>MCD Medical Line PANA.ceia²</v>
          </cell>
          <cell r="C398">
            <v>0</v>
          </cell>
          <cell r="D398">
            <v>0</v>
          </cell>
        </row>
        <row r="399">
          <cell r="A399" t="str">
            <v>2000033M_J-00</v>
          </cell>
          <cell r="B399" t="str">
            <v>MCD Medical Line PANA.ceia²</v>
          </cell>
          <cell r="C399">
            <v>0</v>
          </cell>
          <cell r="D399">
            <v>1633.89</v>
          </cell>
        </row>
        <row r="400">
          <cell r="A400" t="str">
            <v>2000033M_J-03</v>
          </cell>
          <cell r="B400" t="str">
            <v>MCD Medical Line PANA.ceia²</v>
          </cell>
          <cell r="C400">
            <v>0</v>
          </cell>
          <cell r="D400">
            <v>973.32</v>
          </cell>
        </row>
        <row r="401">
          <cell r="A401" t="str">
            <v>2000033M_J-04</v>
          </cell>
          <cell r="B401" t="str">
            <v>MCD Medical Line PANA.ceia²</v>
          </cell>
          <cell r="C401">
            <v>0</v>
          </cell>
          <cell r="D401">
            <v>815.6</v>
          </cell>
        </row>
        <row r="402">
          <cell r="A402" t="str">
            <v>2000033M_J-06</v>
          </cell>
          <cell r="B402" t="str">
            <v>MCD Medical Line PANA.ceia²</v>
          </cell>
          <cell r="C402">
            <v>0</v>
          </cell>
          <cell r="D402">
            <v>813.6</v>
          </cell>
        </row>
        <row r="403">
          <cell r="A403" t="str">
            <v>2000033M_J-13</v>
          </cell>
          <cell r="B403" t="str">
            <v>MCD Medical Line PANA.ceia²</v>
          </cell>
          <cell r="C403">
            <v>0</v>
          </cell>
          <cell r="D403">
            <v>965.53</v>
          </cell>
        </row>
        <row r="404">
          <cell r="A404" t="str">
            <v>2000033M_J-15</v>
          </cell>
          <cell r="B404" t="str">
            <v>MCD Medical Line PANA.ceia²</v>
          </cell>
          <cell r="C404">
            <v>0</v>
          </cell>
          <cell r="D404">
            <v>915.23</v>
          </cell>
        </row>
        <row r="405">
          <cell r="A405" t="str">
            <v>2000033M_J-21</v>
          </cell>
          <cell r="B405" t="str">
            <v>MCD Medical Line PANA.ceia²</v>
          </cell>
          <cell r="C405">
            <v>0</v>
          </cell>
          <cell r="D405">
            <v>946.64</v>
          </cell>
        </row>
        <row r="406">
          <cell r="A406" t="str">
            <v>2000033M_J-22</v>
          </cell>
          <cell r="B406" t="str">
            <v>MCD Medical Line PANA.ceia²</v>
          </cell>
          <cell r="C406">
            <v>0</v>
          </cell>
          <cell r="D406">
            <v>800.52</v>
          </cell>
        </row>
        <row r="407">
          <cell r="A407" t="str">
            <v>2000033M_J-23</v>
          </cell>
          <cell r="B407" t="str">
            <v>MCD Medical Line PANA.ceia²</v>
          </cell>
          <cell r="C407">
            <v>0</v>
          </cell>
          <cell r="D407">
            <v>836.85</v>
          </cell>
        </row>
        <row r="408">
          <cell r="A408" t="str">
            <v>2000033M_J-24</v>
          </cell>
          <cell r="B408" t="str">
            <v>MCD Medical Line PANA.ceia²</v>
          </cell>
          <cell r="C408">
            <v>0</v>
          </cell>
          <cell r="D408">
            <v>855.85</v>
          </cell>
        </row>
        <row r="409">
          <cell r="A409" t="str">
            <v>2000033M_J-25</v>
          </cell>
          <cell r="B409" t="str">
            <v>MCD Medical Line PANA.ceia²</v>
          </cell>
          <cell r="C409">
            <v>0</v>
          </cell>
          <cell r="D409">
            <v>973.86</v>
          </cell>
        </row>
        <row r="410">
          <cell r="A410" t="str">
            <v>2000033M_J-26</v>
          </cell>
          <cell r="B410" t="str">
            <v>MCD Medical Line PANA.ceia²</v>
          </cell>
          <cell r="C410">
            <v>0</v>
          </cell>
          <cell r="D410">
            <v>824.44</v>
          </cell>
        </row>
        <row r="411">
          <cell r="A411" t="str">
            <v>2000033M_J-27</v>
          </cell>
          <cell r="B411" t="str">
            <v>MCD Medical Line PANA.ceia²</v>
          </cell>
          <cell r="C411">
            <v>0</v>
          </cell>
          <cell r="D411">
            <v>782.23</v>
          </cell>
        </row>
        <row r="412">
          <cell r="A412" t="str">
            <v>2000033M_J-28</v>
          </cell>
          <cell r="B412" t="str">
            <v>MCD Medical Line PANA.ceia²</v>
          </cell>
          <cell r="C412">
            <v>0</v>
          </cell>
          <cell r="D412">
            <v>1053.1199999999999</v>
          </cell>
        </row>
        <row r="413">
          <cell r="A413" t="str">
            <v>2000033M_J-29</v>
          </cell>
          <cell r="B413" t="str">
            <v>MCD Medical Line PANA.ceia²</v>
          </cell>
          <cell r="C413">
            <v>0</v>
          </cell>
          <cell r="D413">
            <v>891.71</v>
          </cell>
        </row>
        <row r="414">
          <cell r="A414" t="str">
            <v>2000033M_J-30</v>
          </cell>
          <cell r="B414" t="str">
            <v>MCD Medical Line PANA.ceia²</v>
          </cell>
          <cell r="C414">
            <v>0</v>
          </cell>
          <cell r="D414">
            <v>865.42</v>
          </cell>
        </row>
        <row r="415">
          <cell r="A415" t="str">
            <v>2000033M_J-31</v>
          </cell>
          <cell r="B415" t="str">
            <v>MCD Medical Line PANA.ceia²</v>
          </cell>
          <cell r="C415">
            <v>0</v>
          </cell>
          <cell r="D415">
            <v>757.51</v>
          </cell>
        </row>
        <row r="416">
          <cell r="A416" t="str">
            <v>2000033M_K</v>
          </cell>
          <cell r="B416" t="str">
            <v>MCD Medical Line PANA.ceia² Basis Model</v>
          </cell>
          <cell r="C416">
            <v>0</v>
          </cell>
          <cell r="D416">
            <v>436.66</v>
          </cell>
        </row>
        <row r="417">
          <cell r="A417" t="str">
            <v>2000033M_K-01</v>
          </cell>
          <cell r="B417" t="str">
            <v>MCD Medical Line PANA.ceia²</v>
          </cell>
          <cell r="C417">
            <v>0</v>
          </cell>
          <cell r="D417">
            <v>817.26</v>
          </cell>
        </row>
        <row r="418">
          <cell r="A418" t="str">
            <v>2000034M_A</v>
          </cell>
          <cell r="B418" t="str">
            <v>MCD Medical Line THA.leia 21.5" Touch</v>
          </cell>
          <cell r="C418">
            <v>0</v>
          </cell>
          <cell r="D418">
            <v>0</v>
          </cell>
        </row>
        <row r="419">
          <cell r="A419" t="str">
            <v>2000034M_B</v>
          </cell>
          <cell r="B419" t="str">
            <v>MCD Medical Line THA.leia 21.5" Touch</v>
          </cell>
          <cell r="C419">
            <v>0</v>
          </cell>
          <cell r="D419">
            <v>2912</v>
          </cell>
        </row>
        <row r="420">
          <cell r="A420" t="str">
            <v>2000034M_B-01</v>
          </cell>
          <cell r="B420" t="str">
            <v>MCD Medical Line THA.leia 21.5" Touch</v>
          </cell>
          <cell r="C420">
            <v>1</v>
          </cell>
          <cell r="D420">
            <v>3315.02</v>
          </cell>
        </row>
        <row r="421">
          <cell r="A421" t="str">
            <v>2000034M_B-02</v>
          </cell>
          <cell r="B421" t="str">
            <v>MCD Medical Line THA.leia 21.5" Touch</v>
          </cell>
          <cell r="C421">
            <v>0</v>
          </cell>
          <cell r="D421">
            <v>1980</v>
          </cell>
        </row>
        <row r="422">
          <cell r="A422" t="str">
            <v>2000034M_B-03</v>
          </cell>
          <cell r="B422" t="str">
            <v>MCD Medical Line THA.leia 21.5" Touch</v>
          </cell>
          <cell r="C422">
            <v>0</v>
          </cell>
          <cell r="D422">
            <v>3044.09</v>
          </cell>
        </row>
        <row r="423">
          <cell r="A423" t="str">
            <v>2000034M_B-04</v>
          </cell>
          <cell r="B423" t="str">
            <v>MCD Medical Line THA.leia 21.5" Touch</v>
          </cell>
          <cell r="C423">
            <v>0</v>
          </cell>
          <cell r="D423">
            <v>2847.87</v>
          </cell>
        </row>
        <row r="424">
          <cell r="A424" t="str">
            <v>2000034M_C-00</v>
          </cell>
          <cell r="B424" t="str">
            <v>MCD Medical Line THA.leia 21.5" Touch</v>
          </cell>
          <cell r="C424">
            <v>0</v>
          </cell>
          <cell r="D424">
            <v>1334.2</v>
          </cell>
        </row>
        <row r="425">
          <cell r="A425" t="str">
            <v>2000034M_C-05</v>
          </cell>
          <cell r="B425" t="str">
            <v>MCD Medical Line THA.leia 21.5" Touch</v>
          </cell>
          <cell r="C425">
            <v>0</v>
          </cell>
          <cell r="D425">
            <v>1644</v>
          </cell>
        </row>
        <row r="426">
          <cell r="A426" t="str">
            <v>2000034M_C-06</v>
          </cell>
          <cell r="B426" t="str">
            <v>MCD Medical Line THA.leia 21.5" Touch</v>
          </cell>
          <cell r="C426">
            <v>1</v>
          </cell>
          <cell r="D426">
            <v>1943.68</v>
          </cell>
        </row>
        <row r="427">
          <cell r="A427" t="str">
            <v>2000034M_C-07</v>
          </cell>
          <cell r="B427" t="str">
            <v>MCD Medical Line THA.leia 21.5" Touch</v>
          </cell>
          <cell r="C427">
            <v>2</v>
          </cell>
          <cell r="D427">
            <v>1689.23</v>
          </cell>
        </row>
        <row r="428">
          <cell r="A428" t="str">
            <v>2000035M_A</v>
          </cell>
          <cell r="B428" t="str">
            <v>MCD Medical Line THA.leia 21.5"</v>
          </cell>
          <cell r="C428">
            <v>0</v>
          </cell>
          <cell r="D428">
            <v>0</v>
          </cell>
        </row>
        <row r="429">
          <cell r="A429" t="str">
            <v>2000035M_B</v>
          </cell>
          <cell r="B429" t="str">
            <v>MCD Medical Line THA.leia 21.5"</v>
          </cell>
          <cell r="C429">
            <v>0</v>
          </cell>
          <cell r="D429">
            <v>2612</v>
          </cell>
        </row>
        <row r="430">
          <cell r="A430" t="str">
            <v>2000035M_B-01</v>
          </cell>
          <cell r="B430" t="str">
            <v>MCD Medical Line THA.leia 21.5"</v>
          </cell>
          <cell r="C430">
            <v>1</v>
          </cell>
          <cell r="D430">
            <v>1553.22</v>
          </cell>
        </row>
        <row r="431">
          <cell r="A431" t="str">
            <v>2000035M_C-00</v>
          </cell>
          <cell r="B431" t="str">
            <v>MCD Medical Line THA.leia 21.5"</v>
          </cell>
          <cell r="C431">
            <v>0</v>
          </cell>
          <cell r="D431">
            <v>1158.4000000000001</v>
          </cell>
        </row>
        <row r="432">
          <cell r="A432" t="str">
            <v>2000035M_C-02</v>
          </cell>
          <cell r="B432" t="str">
            <v>MCD Medical Line THA.leia 21.5"</v>
          </cell>
          <cell r="C432">
            <v>0</v>
          </cell>
          <cell r="D432">
            <v>1417.6</v>
          </cell>
        </row>
        <row r="433">
          <cell r="A433" t="str">
            <v>2000036M_A</v>
          </cell>
          <cell r="B433" t="str">
            <v>MCD Medical Line GEN.ius</v>
          </cell>
          <cell r="C433">
            <v>0</v>
          </cell>
          <cell r="D433">
            <v>2800.5</v>
          </cell>
        </row>
        <row r="434">
          <cell r="A434" t="str">
            <v>2000037M</v>
          </cell>
          <cell r="B434" t="str">
            <v>SlimBook PM240 schwarz, 1.80GHz/4GB RAM/32GB SSD</v>
          </cell>
          <cell r="C434">
            <v>0</v>
          </cell>
          <cell r="D434">
            <v>1487</v>
          </cell>
        </row>
        <row r="435">
          <cell r="A435" t="str">
            <v>2000038M_E</v>
          </cell>
          <cell r="B435" t="str">
            <v>MCD Medical Line AESCU.certus² Desktop non-USV</v>
          </cell>
          <cell r="C435">
            <v>0</v>
          </cell>
          <cell r="D435">
            <v>0</v>
          </cell>
        </row>
        <row r="436">
          <cell r="A436" t="str">
            <v>2000038M_E-01</v>
          </cell>
          <cell r="B436" t="str">
            <v>MCD Medical Line AESCU.certus² Desktop non-USV</v>
          </cell>
          <cell r="C436">
            <v>0</v>
          </cell>
          <cell r="D436">
            <v>1339.73</v>
          </cell>
        </row>
        <row r="437">
          <cell r="A437" t="str">
            <v>2000038M_F</v>
          </cell>
          <cell r="B437" t="str">
            <v>MCD Medical Line AESCU.certus² Desktop non-USV</v>
          </cell>
          <cell r="C437">
            <v>0</v>
          </cell>
          <cell r="D437">
            <v>0</v>
          </cell>
        </row>
        <row r="438">
          <cell r="A438" t="str">
            <v>2000038M_F-00</v>
          </cell>
          <cell r="B438" t="str">
            <v>MCD Medical Line AESCU.certus² Stand non-USV</v>
          </cell>
          <cell r="C438">
            <v>0</v>
          </cell>
          <cell r="D438">
            <v>0</v>
          </cell>
        </row>
        <row r="439">
          <cell r="A439" t="str">
            <v>2000038M_F-01</v>
          </cell>
          <cell r="B439" t="str">
            <v>MCD Medical Line AESCU.certus² Desktop non-USV</v>
          </cell>
          <cell r="C439">
            <v>0</v>
          </cell>
          <cell r="D439">
            <v>1612.22</v>
          </cell>
        </row>
        <row r="440">
          <cell r="A440" t="str">
            <v>2000038M_F-02</v>
          </cell>
          <cell r="B440" t="str">
            <v>MCD Medical Line AESCU.certus² Desktop non-USV</v>
          </cell>
          <cell r="C440">
            <v>0</v>
          </cell>
          <cell r="D440">
            <v>1325</v>
          </cell>
        </row>
        <row r="441">
          <cell r="A441" t="str">
            <v>2000038M_F-03</v>
          </cell>
          <cell r="B441" t="str">
            <v>MCD Medical Line AESCU.certus² Stand non-USV</v>
          </cell>
          <cell r="C441">
            <v>0</v>
          </cell>
          <cell r="D441">
            <v>0</v>
          </cell>
        </row>
        <row r="442">
          <cell r="A442" t="str">
            <v>2000038M_G</v>
          </cell>
          <cell r="B442" t="str">
            <v>MCD Medical Line AESCU.certus² Desktop non-USV</v>
          </cell>
          <cell r="C442">
            <v>0</v>
          </cell>
          <cell r="D442">
            <v>0</v>
          </cell>
        </row>
        <row r="443">
          <cell r="A443" t="str">
            <v>2000038M_G-01</v>
          </cell>
          <cell r="B443" t="str">
            <v>MCD Medical Line AESCU.certus² Desktop non-USV</v>
          </cell>
          <cell r="C443">
            <v>0</v>
          </cell>
          <cell r="D443">
            <v>1531.32</v>
          </cell>
        </row>
        <row r="444">
          <cell r="A444" t="str">
            <v>2000038M_G-02</v>
          </cell>
          <cell r="B444" t="str">
            <v>MCD Medical Line AESCU.certus² Desktop non-USV</v>
          </cell>
          <cell r="C444">
            <v>0</v>
          </cell>
          <cell r="D444">
            <v>0</v>
          </cell>
        </row>
        <row r="445">
          <cell r="A445" t="str">
            <v>2000038M_H</v>
          </cell>
          <cell r="B445" t="str">
            <v>MCD Medical Line AESCU.certus² Desktop non-USV</v>
          </cell>
          <cell r="C445">
            <v>0</v>
          </cell>
          <cell r="D445">
            <v>0</v>
          </cell>
        </row>
        <row r="446">
          <cell r="A446" t="str">
            <v>2000038M_H-00</v>
          </cell>
          <cell r="B446" t="str">
            <v>MCD Medical Line AESCU.certus² Desktop non-USV</v>
          </cell>
          <cell r="C446">
            <v>0</v>
          </cell>
          <cell r="D446">
            <v>0</v>
          </cell>
        </row>
        <row r="447">
          <cell r="A447" t="str">
            <v>2000038M_H-01</v>
          </cell>
          <cell r="B447" t="str">
            <v>MCD Medical Line AESCU.certus² Desktop non-USV</v>
          </cell>
          <cell r="C447">
            <v>0</v>
          </cell>
          <cell r="D447">
            <v>1530.17</v>
          </cell>
        </row>
        <row r="448">
          <cell r="A448" t="str">
            <v>2000038M_H-02</v>
          </cell>
          <cell r="B448" t="str">
            <v>MCD Medical Line AESCU.certus² Desktop non-USV</v>
          </cell>
          <cell r="C448">
            <v>0</v>
          </cell>
          <cell r="D448">
            <v>0</v>
          </cell>
        </row>
        <row r="449">
          <cell r="A449" t="str">
            <v>2000038M_H-03</v>
          </cell>
          <cell r="B449" t="str">
            <v>MCD Medical Line AESCU.certus² Desktop non-USV</v>
          </cell>
          <cell r="C449">
            <v>0</v>
          </cell>
          <cell r="D449">
            <v>0</v>
          </cell>
        </row>
        <row r="450">
          <cell r="A450" t="str">
            <v>2000038M_I</v>
          </cell>
          <cell r="B450" t="str">
            <v>MCD Medical Line AESCU.certus² Desktop non-USV</v>
          </cell>
          <cell r="C450">
            <v>0</v>
          </cell>
          <cell r="D450">
            <v>1133.25</v>
          </cell>
        </row>
        <row r="451">
          <cell r="A451" t="str">
            <v>2000038M_I-00</v>
          </cell>
          <cell r="B451" t="str">
            <v>MCD Medical Line AESCU.certus² Desktop non-USV</v>
          </cell>
          <cell r="C451">
            <v>0</v>
          </cell>
          <cell r="D451">
            <v>1447.67</v>
          </cell>
        </row>
        <row r="452">
          <cell r="A452" t="str">
            <v>2000038M_I-01</v>
          </cell>
          <cell r="B452" t="str">
            <v>MCD Medical Line AESCU.certus² Desktop non-USV</v>
          </cell>
          <cell r="C452">
            <v>0</v>
          </cell>
          <cell r="D452">
            <v>1518.49</v>
          </cell>
        </row>
        <row r="453">
          <cell r="A453" t="str">
            <v>2000038M_I-02</v>
          </cell>
          <cell r="B453" t="str">
            <v>MCD Medical Line AESCU.certus² Desktop non-USV</v>
          </cell>
          <cell r="C453">
            <v>0</v>
          </cell>
          <cell r="D453">
            <v>1412.37</v>
          </cell>
        </row>
        <row r="454">
          <cell r="A454" t="str">
            <v>2000038M_I-03</v>
          </cell>
          <cell r="B454" t="str">
            <v>MCD Medical Line AESCU.certus² Desktop non-USV</v>
          </cell>
          <cell r="C454">
            <v>0</v>
          </cell>
          <cell r="D454">
            <v>1424.67</v>
          </cell>
        </row>
        <row r="455">
          <cell r="A455" t="str">
            <v>2000038M_I-04</v>
          </cell>
          <cell r="B455" t="str">
            <v>MCD Medical Line AESCU.certus² Desktop non-USV</v>
          </cell>
          <cell r="C455">
            <v>0</v>
          </cell>
          <cell r="D455">
            <v>1378.33</v>
          </cell>
        </row>
        <row r="456">
          <cell r="A456" t="str">
            <v>2000038M_J</v>
          </cell>
          <cell r="B456" t="str">
            <v>MCD Medical Line AESCU.certus² Desktop non-USV</v>
          </cell>
          <cell r="C456">
            <v>0</v>
          </cell>
          <cell r="D456">
            <v>0</v>
          </cell>
        </row>
        <row r="457">
          <cell r="A457" t="str">
            <v>2000038M_K</v>
          </cell>
          <cell r="B457" t="str">
            <v>MCD Medical Line AESCU.certus² Desktop non-USV</v>
          </cell>
          <cell r="C457">
            <v>0</v>
          </cell>
          <cell r="D457">
            <v>0</v>
          </cell>
        </row>
        <row r="458">
          <cell r="A458" t="str">
            <v>2000038M_K-04</v>
          </cell>
          <cell r="B458" t="str">
            <v>MCD Medical Line AESCU.certus² Desktop non-USV</v>
          </cell>
          <cell r="C458">
            <v>0</v>
          </cell>
          <cell r="D458">
            <v>1416.23</v>
          </cell>
        </row>
        <row r="459">
          <cell r="A459" t="str">
            <v>2000038M_L</v>
          </cell>
          <cell r="B459" t="str">
            <v>MCD Medical Line AESCU.certus² Desktop non-USV</v>
          </cell>
          <cell r="C459">
            <v>0</v>
          </cell>
          <cell r="D459">
            <v>0</v>
          </cell>
        </row>
        <row r="460">
          <cell r="A460" t="str">
            <v>2000038M_L-01</v>
          </cell>
          <cell r="B460" t="str">
            <v>MCD Medical Line AESCU.certus² Desktop non-USV</v>
          </cell>
          <cell r="C460">
            <v>0</v>
          </cell>
          <cell r="D460">
            <v>1494.28</v>
          </cell>
        </row>
        <row r="461">
          <cell r="A461" t="str">
            <v>2000038M_L-05</v>
          </cell>
          <cell r="B461" t="str">
            <v>MCD Medical Line AESCU.certus² Desktop non-USV</v>
          </cell>
          <cell r="C461">
            <v>0</v>
          </cell>
          <cell r="D461">
            <v>1679.1</v>
          </cell>
        </row>
        <row r="462">
          <cell r="A462" t="str">
            <v>2000039M_E</v>
          </cell>
          <cell r="B462" t="str">
            <v>MCD Medical Line AESCU.certus² Wand non-USV</v>
          </cell>
          <cell r="C462">
            <v>0</v>
          </cell>
          <cell r="D462">
            <v>0</v>
          </cell>
        </row>
        <row r="463">
          <cell r="A463" t="str">
            <v>2000039M_E-01</v>
          </cell>
          <cell r="B463" t="str">
            <v>MCD Medical Line AESCU.certus² Wand non-USV</v>
          </cell>
          <cell r="C463">
            <v>0</v>
          </cell>
          <cell r="D463">
            <v>1263.29</v>
          </cell>
        </row>
        <row r="464">
          <cell r="A464" t="str">
            <v>2000039M_F</v>
          </cell>
          <cell r="B464" t="str">
            <v>MCD Medical Line AESCU.certus² Wand non-USV</v>
          </cell>
          <cell r="C464">
            <v>0</v>
          </cell>
          <cell r="D464">
            <v>0</v>
          </cell>
        </row>
        <row r="465">
          <cell r="A465" t="str">
            <v>2000039M_G</v>
          </cell>
          <cell r="B465" t="str">
            <v>MCD Medical Line AESCU.certus² Wand non-USV</v>
          </cell>
          <cell r="C465">
            <v>0</v>
          </cell>
          <cell r="D465">
            <v>0</v>
          </cell>
        </row>
        <row r="466">
          <cell r="A466" t="str">
            <v>2000039M_H</v>
          </cell>
          <cell r="B466" t="str">
            <v>MCD Medical Line AESCU.certus² Wand non-USV</v>
          </cell>
          <cell r="C466">
            <v>0</v>
          </cell>
          <cell r="D466">
            <v>0</v>
          </cell>
        </row>
        <row r="467">
          <cell r="A467" t="str">
            <v>2000039M_I</v>
          </cell>
          <cell r="B467" t="str">
            <v>MCD Medical Line AESCU.certus² Wand non-USV</v>
          </cell>
          <cell r="C467">
            <v>0</v>
          </cell>
          <cell r="D467">
            <v>1133.25</v>
          </cell>
        </row>
        <row r="468">
          <cell r="A468" t="str">
            <v>2000039M_J</v>
          </cell>
          <cell r="B468" t="str">
            <v>MCD Medical Line AESCU.certus² Wand non-USV</v>
          </cell>
          <cell r="C468">
            <v>0</v>
          </cell>
          <cell r="D468">
            <v>0</v>
          </cell>
        </row>
        <row r="469">
          <cell r="A469" t="str">
            <v>2000039M_J-02</v>
          </cell>
          <cell r="B469" t="str">
            <v>MCD Medical Line AESCU.certus² Wand non-USV</v>
          </cell>
          <cell r="C469">
            <v>0</v>
          </cell>
          <cell r="D469">
            <v>1124</v>
          </cell>
        </row>
        <row r="470">
          <cell r="A470" t="str">
            <v>2000039M_J-03</v>
          </cell>
          <cell r="B470" t="str">
            <v>MCD Medical Line AESCU.certus² Wand non-USV</v>
          </cell>
          <cell r="C470">
            <v>0</v>
          </cell>
          <cell r="D470">
            <v>1473.18</v>
          </cell>
        </row>
        <row r="471">
          <cell r="A471" t="str">
            <v>2000039M_K</v>
          </cell>
          <cell r="B471" t="str">
            <v>MCD Medical Line AESCU.certus² Wand non-USV</v>
          </cell>
          <cell r="C471">
            <v>0</v>
          </cell>
          <cell r="D471">
            <v>0</v>
          </cell>
        </row>
        <row r="472">
          <cell r="A472" t="str">
            <v>2000039M_L</v>
          </cell>
          <cell r="B472" t="str">
            <v>MCD Medical Line AESCU.certus² Wand non-USV</v>
          </cell>
          <cell r="C472">
            <v>0</v>
          </cell>
          <cell r="D472">
            <v>0</v>
          </cell>
        </row>
        <row r="473">
          <cell r="A473" t="str">
            <v>2000040M_A</v>
          </cell>
          <cell r="B473" t="str">
            <v>Medical Cardio PC i5 Schiller</v>
          </cell>
          <cell r="C473">
            <v>0</v>
          </cell>
          <cell r="D473">
            <v>811.21</v>
          </cell>
        </row>
        <row r="474">
          <cell r="A474" t="str">
            <v>2000040M_A-01</v>
          </cell>
          <cell r="B474" t="str">
            <v>Medical Cardio PC i5 Schiller</v>
          </cell>
          <cell r="C474">
            <v>0</v>
          </cell>
          <cell r="D474">
            <v>812.74</v>
          </cell>
        </row>
        <row r="475">
          <cell r="A475" t="str">
            <v>2000040M_A-02</v>
          </cell>
          <cell r="B475" t="str">
            <v>Medical Cardio PC i5 Schiller</v>
          </cell>
          <cell r="C475">
            <v>0</v>
          </cell>
          <cell r="D475">
            <v>811.21</v>
          </cell>
        </row>
        <row r="476">
          <cell r="A476" t="str">
            <v>2000040M_B</v>
          </cell>
          <cell r="B476" t="str">
            <v>Medical Cardio PC i5 Schiller</v>
          </cell>
          <cell r="C476">
            <v>0</v>
          </cell>
          <cell r="D476">
            <v>811.28</v>
          </cell>
        </row>
        <row r="477">
          <cell r="A477" t="str">
            <v>2000040M_B-01</v>
          </cell>
          <cell r="B477" t="str">
            <v>Medical Cardio PC i5 Schiller</v>
          </cell>
          <cell r="C477">
            <v>0</v>
          </cell>
          <cell r="D477">
            <v>813.28</v>
          </cell>
        </row>
        <row r="478">
          <cell r="A478" t="str">
            <v>2000040M_B-02</v>
          </cell>
          <cell r="B478" t="str">
            <v>Medical Cardio PC i5 Schiller</v>
          </cell>
          <cell r="C478">
            <v>0</v>
          </cell>
          <cell r="D478">
            <v>811.28</v>
          </cell>
        </row>
        <row r="479">
          <cell r="A479" t="str">
            <v>2000040M_B-03</v>
          </cell>
          <cell r="B479" t="str">
            <v>Medical Cardio PC i5 Schiller</v>
          </cell>
          <cell r="C479">
            <v>0</v>
          </cell>
          <cell r="D479">
            <v>0</v>
          </cell>
        </row>
        <row r="480">
          <cell r="A480" t="str">
            <v>2000040M_C</v>
          </cell>
          <cell r="B480" t="str">
            <v>Medical Cardio PC i5 Schiller</v>
          </cell>
          <cell r="C480">
            <v>0</v>
          </cell>
          <cell r="D480">
            <v>0</v>
          </cell>
        </row>
        <row r="481">
          <cell r="A481" t="str">
            <v>2000040M_C-03</v>
          </cell>
          <cell r="B481" t="str">
            <v>Medical Cardio PC i5 Schiller</v>
          </cell>
          <cell r="C481">
            <v>0</v>
          </cell>
          <cell r="D481">
            <v>850.47</v>
          </cell>
        </row>
        <row r="482">
          <cell r="A482" t="str">
            <v>2000040M_D</v>
          </cell>
          <cell r="B482" t="str">
            <v>Medical Cardio PC i5 Schiller</v>
          </cell>
          <cell r="C482">
            <v>0</v>
          </cell>
          <cell r="D482">
            <v>799</v>
          </cell>
        </row>
        <row r="483">
          <cell r="A483" t="str">
            <v>2000040M_D-02</v>
          </cell>
          <cell r="B483" t="str">
            <v>Medical Cardio PC i5 Schiller</v>
          </cell>
          <cell r="C483">
            <v>0</v>
          </cell>
          <cell r="D483">
            <v>840</v>
          </cell>
        </row>
        <row r="484">
          <cell r="A484" t="str">
            <v>2000040M_D-03</v>
          </cell>
          <cell r="B484" t="str">
            <v>Medical Cardio PC i5 Schiller</v>
          </cell>
          <cell r="C484">
            <v>0</v>
          </cell>
          <cell r="D484">
            <v>841</v>
          </cell>
        </row>
        <row r="485">
          <cell r="A485" t="str">
            <v>2000040M_E</v>
          </cell>
          <cell r="B485" t="str">
            <v>Medical Cardio PC i5 Schiller</v>
          </cell>
          <cell r="C485">
            <v>0</v>
          </cell>
          <cell r="D485">
            <v>789</v>
          </cell>
        </row>
        <row r="486">
          <cell r="A486" t="str">
            <v>2000040M_E-02</v>
          </cell>
          <cell r="B486" t="str">
            <v>Medical Cardio PC i5 Schiller</v>
          </cell>
          <cell r="C486">
            <v>0</v>
          </cell>
          <cell r="D486">
            <v>822.32</v>
          </cell>
        </row>
        <row r="487">
          <cell r="A487" t="str">
            <v>2000040M_E-03</v>
          </cell>
          <cell r="B487" t="str">
            <v>Medical Cardio PC i5 Schiller</v>
          </cell>
          <cell r="C487">
            <v>0</v>
          </cell>
          <cell r="D487">
            <v>847.43</v>
          </cell>
        </row>
        <row r="488">
          <cell r="A488" t="str">
            <v>2000040M_F</v>
          </cell>
          <cell r="B488" t="str">
            <v>Medical Cardio PC i5 Schiller</v>
          </cell>
          <cell r="C488">
            <v>0</v>
          </cell>
          <cell r="D488">
            <v>789</v>
          </cell>
        </row>
        <row r="489">
          <cell r="A489" t="str">
            <v>2000040M_F-02</v>
          </cell>
          <cell r="B489" t="str">
            <v>Medical Cardio PC i5 Schiller</v>
          </cell>
          <cell r="C489">
            <v>0</v>
          </cell>
          <cell r="D489">
            <v>825.59</v>
          </cell>
        </row>
        <row r="490">
          <cell r="A490" t="str">
            <v>2000040M_F-03</v>
          </cell>
          <cell r="B490" t="str">
            <v>Medical Cardio PC i5 Schiller</v>
          </cell>
          <cell r="C490">
            <v>0</v>
          </cell>
          <cell r="D490">
            <v>857.52</v>
          </cell>
        </row>
        <row r="491">
          <cell r="A491" t="str">
            <v>2000040M_F-04</v>
          </cell>
          <cell r="B491" t="str">
            <v>Medical Cardio PC i5 Schiller DE</v>
          </cell>
          <cell r="C491">
            <v>0</v>
          </cell>
          <cell r="D491">
            <v>879.61</v>
          </cell>
        </row>
        <row r="492">
          <cell r="A492" t="str">
            <v>2000040M_F-05</v>
          </cell>
          <cell r="B492" t="str">
            <v>Medical Cardio PC i5 Schiller</v>
          </cell>
          <cell r="C492">
            <v>0</v>
          </cell>
          <cell r="D492">
            <v>904.12</v>
          </cell>
        </row>
        <row r="493">
          <cell r="A493" t="str">
            <v>2000040M_G</v>
          </cell>
          <cell r="B493" t="str">
            <v>Medical Cardio PC i5 Schiller</v>
          </cell>
          <cell r="C493">
            <v>0</v>
          </cell>
          <cell r="D493">
            <v>0</v>
          </cell>
        </row>
        <row r="494">
          <cell r="A494" t="str">
            <v>2000040M_G-01</v>
          </cell>
          <cell r="B494" t="str">
            <v>Medical Cardio PC i5 Schiller DE</v>
          </cell>
          <cell r="C494">
            <v>0</v>
          </cell>
          <cell r="D494">
            <v>0</v>
          </cell>
        </row>
        <row r="495">
          <cell r="A495" t="str">
            <v>2000040M_G-02</v>
          </cell>
          <cell r="B495" t="str">
            <v>Medical Cardio PC i5 Schiller AT</v>
          </cell>
          <cell r="C495">
            <v>0</v>
          </cell>
          <cell r="D495">
            <v>0</v>
          </cell>
        </row>
        <row r="496">
          <cell r="A496" t="str">
            <v>2000041M_A</v>
          </cell>
          <cell r="B496" t="str">
            <v>MCD Medical Line AESCU.certus² UKF</v>
          </cell>
          <cell r="C496">
            <v>0</v>
          </cell>
          <cell r="D496">
            <v>1479.96</v>
          </cell>
        </row>
        <row r="497">
          <cell r="A497" t="str">
            <v>2000041M_B</v>
          </cell>
          <cell r="B497" t="str">
            <v>MCD Medical Line AESCU.certus² UKF</v>
          </cell>
          <cell r="C497">
            <v>0</v>
          </cell>
          <cell r="D497">
            <v>1414.82</v>
          </cell>
        </row>
        <row r="498">
          <cell r="A498" t="str">
            <v>2000041M_C</v>
          </cell>
          <cell r="B498" t="str">
            <v>MCD Medical Line AESCU.certus² UKF</v>
          </cell>
          <cell r="C498">
            <v>0</v>
          </cell>
          <cell r="D498">
            <v>0</v>
          </cell>
        </row>
        <row r="499">
          <cell r="A499" t="str">
            <v>2000042M_A</v>
          </cell>
          <cell r="B499" t="str">
            <v>AESCU.Mobilus²  PC Only (Sub Assembly)</v>
          </cell>
          <cell r="C499">
            <v>0</v>
          </cell>
          <cell r="D499">
            <v>1211.3399999999999</v>
          </cell>
        </row>
        <row r="500">
          <cell r="A500" t="str">
            <v>2000043M_A</v>
          </cell>
          <cell r="B500" t="str">
            <v>MCD Medical Line AESCU.mobilus² (Komplett)</v>
          </cell>
          <cell r="C500">
            <v>0</v>
          </cell>
          <cell r="D500">
            <v>0</v>
          </cell>
        </row>
        <row r="501">
          <cell r="A501" t="str">
            <v>2000043M_B-01</v>
          </cell>
          <cell r="B501" t="str">
            <v>MCD Medical Line AESCU.mobilus² (Komplett)</v>
          </cell>
          <cell r="C501">
            <v>0</v>
          </cell>
          <cell r="D501">
            <v>4763.17</v>
          </cell>
        </row>
        <row r="502">
          <cell r="A502" t="str">
            <v>2000044M_A</v>
          </cell>
          <cell r="B502" t="str">
            <v>MCD Medical Line THA.leia 19" NON-Touch</v>
          </cell>
          <cell r="C502">
            <v>0</v>
          </cell>
          <cell r="D502">
            <v>0</v>
          </cell>
        </row>
        <row r="503">
          <cell r="A503" t="str">
            <v>2000044M_A-01</v>
          </cell>
          <cell r="B503" t="str">
            <v>MCD Medical Line THA.leia 19" NON-Touch</v>
          </cell>
          <cell r="C503">
            <v>1</v>
          </cell>
          <cell r="D503">
            <v>2850</v>
          </cell>
        </row>
        <row r="504">
          <cell r="A504" t="str">
            <v>2000045M_A</v>
          </cell>
          <cell r="B504" t="str">
            <v>MCD Medical Line THA.leia 19" Touch</v>
          </cell>
          <cell r="C504">
            <v>0</v>
          </cell>
          <cell r="D504">
            <v>0</v>
          </cell>
        </row>
        <row r="505">
          <cell r="A505" t="str">
            <v>2000045M_A-01</v>
          </cell>
          <cell r="B505" t="str">
            <v>MCD Medical Line THA.leia 19" Touch</v>
          </cell>
          <cell r="C505">
            <v>2</v>
          </cell>
          <cell r="D505">
            <v>3028</v>
          </cell>
        </row>
        <row r="506">
          <cell r="A506">
            <v>2001000</v>
          </cell>
          <cell r="B506" t="str">
            <v>Gehäuse Storz Medical PC</v>
          </cell>
          <cell r="C506">
            <v>0</v>
          </cell>
          <cell r="D506">
            <v>335</v>
          </cell>
        </row>
        <row r="507">
          <cell r="A507">
            <v>2001001</v>
          </cell>
          <cell r="B507" t="str">
            <v>Folienfrontplatte Storz Aida Control</v>
          </cell>
          <cell r="C507">
            <v>0</v>
          </cell>
          <cell r="D507">
            <v>29.9</v>
          </cell>
        </row>
        <row r="508">
          <cell r="A508">
            <v>2001002</v>
          </cell>
          <cell r="B508" t="str">
            <v>Folienfrontplatte Storz OR1 Control</v>
          </cell>
          <cell r="C508">
            <v>0</v>
          </cell>
          <cell r="D508">
            <v>29.9</v>
          </cell>
        </row>
        <row r="509">
          <cell r="A509">
            <v>2001010</v>
          </cell>
          <cell r="B509" t="str">
            <v>Gehäuse Storz Medical PC</v>
          </cell>
          <cell r="C509">
            <v>0</v>
          </cell>
          <cell r="D509">
            <v>422</v>
          </cell>
        </row>
        <row r="510">
          <cell r="A510">
            <v>2001011</v>
          </cell>
          <cell r="B510" t="str">
            <v>Y Folienfrontplatte Aida Control Server Storz</v>
          </cell>
          <cell r="C510">
            <v>0</v>
          </cell>
          <cell r="D510">
            <v>30</v>
          </cell>
        </row>
        <row r="511">
          <cell r="A511">
            <v>2001012</v>
          </cell>
          <cell r="B511" t="str">
            <v>Y Folienfrontplatte SBC Control Server Storz</v>
          </cell>
          <cell r="C511">
            <v>0</v>
          </cell>
          <cell r="D511">
            <v>28</v>
          </cell>
        </row>
        <row r="512">
          <cell r="A512">
            <v>2001013</v>
          </cell>
          <cell r="B512" t="str">
            <v>Gehäuse Storz mit Front AIDA Ausführung ***</v>
          </cell>
          <cell r="C512">
            <v>0</v>
          </cell>
          <cell r="D512">
            <v>225</v>
          </cell>
        </row>
        <row r="513">
          <cell r="A513">
            <v>2001014</v>
          </cell>
          <cell r="B513" t="str">
            <v>Gehäuse Storz AIDA control 20096120</v>
          </cell>
          <cell r="C513">
            <v>10</v>
          </cell>
          <cell r="D513">
            <v>230.75</v>
          </cell>
        </row>
        <row r="514">
          <cell r="A514">
            <v>2001015</v>
          </cell>
          <cell r="B514" t="str">
            <v>Gehäuse Storz OR1 20097020-1</v>
          </cell>
          <cell r="C514">
            <v>0</v>
          </cell>
          <cell r="D514">
            <v>245</v>
          </cell>
        </row>
        <row r="515">
          <cell r="A515">
            <v>2001016</v>
          </cell>
          <cell r="B515" t="str">
            <v>Gehäuse Storz HD Connect 202055 20</v>
          </cell>
          <cell r="C515">
            <v>0</v>
          </cell>
          <cell r="D515">
            <v>269.57</v>
          </cell>
        </row>
        <row r="516">
          <cell r="A516">
            <v>2001017</v>
          </cell>
          <cell r="B516" t="str">
            <v>Gehäuse Storz AIDA Control 200461 20</v>
          </cell>
          <cell r="C516">
            <v>13</v>
          </cell>
          <cell r="D516">
            <v>0</v>
          </cell>
        </row>
        <row r="517">
          <cell r="A517">
            <v>2001020</v>
          </cell>
          <cell r="B517" t="str">
            <v>Gehäuse Storz HD Connect 202056 20 / 40 mm</v>
          </cell>
          <cell r="C517">
            <v>0</v>
          </cell>
          <cell r="D517">
            <v>331.25</v>
          </cell>
        </row>
        <row r="518">
          <cell r="A518">
            <v>2001023</v>
          </cell>
          <cell r="B518" t="str">
            <v>Gehäuse+Deckel Storz AIDA HD Connect Hakama</v>
          </cell>
          <cell r="C518">
            <v>0</v>
          </cell>
          <cell r="D518">
            <v>0</v>
          </cell>
        </row>
        <row r="519">
          <cell r="A519">
            <v>2001024</v>
          </cell>
          <cell r="B519" t="str">
            <v>Frontpl. blank Storz AIDA HD Connect Hakama</v>
          </cell>
          <cell r="C519">
            <v>0</v>
          </cell>
          <cell r="D519">
            <v>0</v>
          </cell>
        </row>
        <row r="520">
          <cell r="A520">
            <v>2001025</v>
          </cell>
          <cell r="B520" t="str">
            <v>Frontplatte mit Frontfolie 20205620</v>
          </cell>
          <cell r="C520">
            <v>14</v>
          </cell>
          <cell r="D520">
            <v>68.650000000000006</v>
          </cell>
        </row>
        <row r="521">
          <cell r="A521">
            <v>2001026</v>
          </cell>
          <cell r="B521" t="str">
            <v>Frontpl. IR 8600 Storz AIDA HD Connect Ritzi</v>
          </cell>
          <cell r="C521">
            <v>0</v>
          </cell>
          <cell r="D521">
            <v>42</v>
          </cell>
        </row>
        <row r="522">
          <cell r="A522">
            <v>2001027</v>
          </cell>
          <cell r="B522" t="str">
            <v>Frontplatte mit Frontfolie IR8700</v>
          </cell>
          <cell r="C522">
            <v>0</v>
          </cell>
          <cell r="D522">
            <v>42</v>
          </cell>
        </row>
        <row r="523">
          <cell r="A523">
            <v>2001029</v>
          </cell>
          <cell r="B523" t="str">
            <v>Frontfolie AIDA HD IR8701</v>
          </cell>
          <cell r="C523">
            <v>0</v>
          </cell>
          <cell r="D523">
            <v>15</v>
          </cell>
        </row>
        <row r="524">
          <cell r="A524">
            <v>2001031</v>
          </cell>
          <cell r="B524" t="str">
            <v>LED Platine Radisys PL35Q</v>
          </cell>
          <cell r="C524">
            <v>720</v>
          </cell>
          <cell r="D524">
            <v>3.84</v>
          </cell>
        </row>
        <row r="525">
          <cell r="A525">
            <v>2001032</v>
          </cell>
          <cell r="B525" t="str">
            <v>Frontplatte mit Frontfolie 20050020</v>
          </cell>
          <cell r="C525">
            <v>0</v>
          </cell>
          <cell r="D525">
            <v>59</v>
          </cell>
        </row>
        <row r="526">
          <cell r="A526">
            <v>2001034</v>
          </cell>
          <cell r="B526" t="str">
            <v>Gehäuse+Deckel Storz AIDA HD Connect Hakama Rev. C</v>
          </cell>
          <cell r="C526">
            <v>0</v>
          </cell>
          <cell r="D526">
            <v>204.2</v>
          </cell>
        </row>
        <row r="527">
          <cell r="A527">
            <v>2001035</v>
          </cell>
          <cell r="B527" t="str">
            <v>Gehäuse Storz AIDA Control 200461 20 Version D2</v>
          </cell>
          <cell r="C527">
            <v>0</v>
          </cell>
          <cell r="D527">
            <v>248.5</v>
          </cell>
        </row>
        <row r="528">
          <cell r="A528">
            <v>2001037</v>
          </cell>
          <cell r="B528" t="str">
            <v>Frontplatte mit Frontfolie IR8600</v>
          </cell>
          <cell r="C528">
            <v>0</v>
          </cell>
          <cell r="D528">
            <v>115</v>
          </cell>
        </row>
        <row r="529">
          <cell r="A529">
            <v>2001039</v>
          </cell>
          <cell r="B529" t="str">
            <v>Gehäuse Storz AIDA HD connect ohne Frontplatte</v>
          </cell>
          <cell r="C529">
            <v>0</v>
          </cell>
          <cell r="D529">
            <v>205.72</v>
          </cell>
        </row>
        <row r="530">
          <cell r="A530">
            <v>2001040</v>
          </cell>
          <cell r="B530" t="str">
            <v>Frontpl. blank  AIDA HD Connect Optiarc</v>
          </cell>
          <cell r="C530">
            <v>0</v>
          </cell>
          <cell r="D530">
            <v>27.5</v>
          </cell>
        </row>
        <row r="531">
          <cell r="A531">
            <v>2001041</v>
          </cell>
          <cell r="B531" t="str">
            <v>Frontplatte mit Frontfolie 20205720</v>
          </cell>
          <cell r="C531">
            <v>0</v>
          </cell>
          <cell r="D531">
            <v>65.2</v>
          </cell>
        </row>
        <row r="532">
          <cell r="A532">
            <v>2001042</v>
          </cell>
          <cell r="B532" t="str">
            <v>Gehäuse Storz AIDA HD connect DC ohne Frontplatte</v>
          </cell>
          <cell r="C532">
            <v>28</v>
          </cell>
          <cell r="D532">
            <v>262.33999999999997</v>
          </cell>
        </row>
        <row r="533">
          <cell r="A533">
            <v>2001043</v>
          </cell>
          <cell r="B533" t="str">
            <v>Gehäuse Storz OR1 Control 200971 20</v>
          </cell>
          <cell r="C533">
            <v>0</v>
          </cell>
          <cell r="D533">
            <v>240</v>
          </cell>
        </row>
        <row r="534">
          <cell r="A534">
            <v>2001045</v>
          </cell>
          <cell r="B534" t="str">
            <v>Gehäuse Storz AIDA HD connect ohne Frontplatte</v>
          </cell>
          <cell r="C534">
            <v>308</v>
          </cell>
          <cell r="D534">
            <v>199.6</v>
          </cell>
        </row>
        <row r="535">
          <cell r="A535">
            <v>2001047</v>
          </cell>
          <cell r="B535" t="str">
            <v>LED-Platine Storz AIDA Fusion DFISB331-IPM</v>
          </cell>
          <cell r="C535">
            <v>371</v>
          </cell>
          <cell r="D535">
            <v>7.23</v>
          </cell>
        </row>
        <row r="536">
          <cell r="A536">
            <v>20046020</v>
          </cell>
          <cell r="B536" t="str">
            <v>KARL STORZ AIDA control II 20046020</v>
          </cell>
          <cell r="C536">
            <v>0</v>
          </cell>
          <cell r="D536">
            <v>1370</v>
          </cell>
        </row>
        <row r="537">
          <cell r="A537" t="str">
            <v>20046020-2</v>
          </cell>
          <cell r="B537" t="str">
            <v>KARL STORZ AIDA control II 20046020</v>
          </cell>
          <cell r="C537">
            <v>0</v>
          </cell>
          <cell r="D537">
            <v>1090</v>
          </cell>
        </row>
        <row r="538">
          <cell r="A538">
            <v>20046120</v>
          </cell>
          <cell r="B538" t="str">
            <v>KARL STORZ AIDA control III 20046120</v>
          </cell>
          <cell r="C538">
            <v>0</v>
          </cell>
          <cell r="D538">
            <v>0</v>
          </cell>
        </row>
        <row r="539">
          <cell r="A539" t="str">
            <v>20046120-A</v>
          </cell>
          <cell r="B539" t="str">
            <v>KARL STORZ AIDA control NEO DVD "A"</v>
          </cell>
          <cell r="C539">
            <v>0</v>
          </cell>
          <cell r="D539">
            <v>1165</v>
          </cell>
        </row>
        <row r="540">
          <cell r="A540" t="str">
            <v>20046120-AB</v>
          </cell>
          <cell r="B540" t="str">
            <v>KARL STORZ AIDA control NEO DVD "A" Rev. B</v>
          </cell>
          <cell r="C540">
            <v>0</v>
          </cell>
          <cell r="D540">
            <v>1195</v>
          </cell>
        </row>
        <row r="541">
          <cell r="A541" t="str">
            <v>20046120-B</v>
          </cell>
          <cell r="B541" t="str">
            <v>KARL STORZ AIDA control NEO Blu-ray</v>
          </cell>
          <cell r="C541">
            <v>0</v>
          </cell>
          <cell r="D541">
            <v>1395</v>
          </cell>
        </row>
        <row r="542">
          <cell r="A542" t="str">
            <v>20046120-C</v>
          </cell>
          <cell r="B542" t="str">
            <v>KARL STORZ AIDA control NEO DVD "C"</v>
          </cell>
          <cell r="C542">
            <v>0</v>
          </cell>
          <cell r="D542">
            <v>1165</v>
          </cell>
        </row>
        <row r="543">
          <cell r="A543" t="str">
            <v>20046120-CB</v>
          </cell>
          <cell r="B543" t="str">
            <v>KARL STORZ AIDA control NEO DVD "C" Rev. B</v>
          </cell>
          <cell r="C543">
            <v>0</v>
          </cell>
          <cell r="D543">
            <v>1195</v>
          </cell>
        </row>
        <row r="544">
          <cell r="A544" t="str">
            <v>20046120-CC</v>
          </cell>
          <cell r="B544" t="str">
            <v>KARL STORZ AIDA control NEO 200461 20 V3.1</v>
          </cell>
          <cell r="C544">
            <v>0</v>
          </cell>
          <cell r="D544">
            <v>1225.2</v>
          </cell>
        </row>
        <row r="545">
          <cell r="A545" t="str">
            <v>20046120-D</v>
          </cell>
          <cell r="B545" t="str">
            <v>KARL STORZ AIDA control NEO 200461 20 V3.1</v>
          </cell>
          <cell r="C545">
            <v>0</v>
          </cell>
          <cell r="D545">
            <v>1175.2</v>
          </cell>
        </row>
        <row r="546">
          <cell r="A546" t="str">
            <v>20046120-D_H</v>
          </cell>
          <cell r="B546" t="str">
            <v>KARL STORZ AIDA control NEO 200461 20 V3.1</v>
          </cell>
          <cell r="C546">
            <v>0</v>
          </cell>
          <cell r="D546">
            <v>1171.05</v>
          </cell>
        </row>
        <row r="547">
          <cell r="A547" t="str">
            <v>20046120-D_I</v>
          </cell>
          <cell r="B547" t="str">
            <v>KARL STORZ AIDA control NEO 200461 20 V3.1</v>
          </cell>
          <cell r="C547">
            <v>0</v>
          </cell>
          <cell r="D547">
            <v>1175.26</v>
          </cell>
        </row>
        <row r="548">
          <cell r="A548" t="str">
            <v>20046120-D_J</v>
          </cell>
          <cell r="B548" t="str">
            <v>KARL STORZ AIDA control NEO 200461 20 V3.1</v>
          </cell>
          <cell r="C548">
            <v>0</v>
          </cell>
          <cell r="D548">
            <v>1149.51</v>
          </cell>
        </row>
        <row r="549">
          <cell r="A549" t="str">
            <v>20046120-D_K</v>
          </cell>
          <cell r="B549" t="str">
            <v>KARL STORZ AIDA control NEO 200461 20 V3.1</v>
          </cell>
          <cell r="C549">
            <v>0</v>
          </cell>
          <cell r="D549">
            <v>1146.82</v>
          </cell>
        </row>
        <row r="550">
          <cell r="A550" t="str">
            <v>20046120-D_L</v>
          </cell>
          <cell r="B550" t="str">
            <v>KARL STORZ AIDA control NEO 200461 20 V3.1</v>
          </cell>
          <cell r="C550">
            <v>0</v>
          </cell>
          <cell r="D550">
            <v>1138.9000000000001</v>
          </cell>
        </row>
        <row r="551">
          <cell r="A551" t="str">
            <v>20046120-D_M</v>
          </cell>
          <cell r="B551" t="str">
            <v>KARL STORZ AIDA control NEO 200461 20 V3.1</v>
          </cell>
          <cell r="C551">
            <v>1</v>
          </cell>
          <cell r="D551">
            <v>1125.1099999999999</v>
          </cell>
        </row>
        <row r="552">
          <cell r="A552" t="str">
            <v>20046120-D_N</v>
          </cell>
          <cell r="B552" t="str">
            <v>KARL STORZ AIDA control NEO 200461 20 V3.1</v>
          </cell>
          <cell r="C552">
            <v>0</v>
          </cell>
          <cell r="D552">
            <v>1148.3900000000001</v>
          </cell>
        </row>
        <row r="553">
          <cell r="A553" t="str">
            <v>20046120-D_O</v>
          </cell>
          <cell r="B553" t="str">
            <v>KARL STORZ AIDA control NEO 200461 20 V3.1</v>
          </cell>
          <cell r="C553">
            <v>0</v>
          </cell>
          <cell r="D553">
            <v>1149</v>
          </cell>
        </row>
        <row r="554">
          <cell r="A554" t="str">
            <v>20046120-D_P</v>
          </cell>
          <cell r="B554" t="str">
            <v>KARL STORZ AIDA control NEO 200461 20 V3.1</v>
          </cell>
          <cell r="C554">
            <v>0</v>
          </cell>
          <cell r="D554">
            <v>1137.8599999999999</v>
          </cell>
        </row>
        <row r="555">
          <cell r="A555" t="str">
            <v>20046120-D_Q</v>
          </cell>
          <cell r="B555" t="str">
            <v>KARL STORZ AIDA control NEO 200461 20 V3.1</v>
          </cell>
          <cell r="C555">
            <v>3</v>
          </cell>
          <cell r="D555">
            <v>1135.74</v>
          </cell>
        </row>
        <row r="556">
          <cell r="A556" t="str">
            <v>20046120-D_R</v>
          </cell>
          <cell r="B556" t="str">
            <v>KARL STORZ AIDA control NEO 200461 20 V3.1</v>
          </cell>
          <cell r="C556">
            <v>0</v>
          </cell>
          <cell r="D556">
            <v>1137.9000000000001</v>
          </cell>
        </row>
        <row r="557">
          <cell r="A557">
            <v>20046220</v>
          </cell>
          <cell r="B557" t="str">
            <v>KARL STORZ AIDA control III 20046220</v>
          </cell>
          <cell r="C557">
            <v>0</v>
          </cell>
          <cell r="D557">
            <v>0</v>
          </cell>
        </row>
        <row r="558">
          <cell r="A558">
            <v>20048020</v>
          </cell>
          <cell r="B558" t="str">
            <v>KARL STORZ SmartScreen</v>
          </cell>
          <cell r="C558">
            <v>0</v>
          </cell>
          <cell r="D558">
            <v>1790</v>
          </cell>
        </row>
        <row r="559">
          <cell r="A559" t="str">
            <v>20048020_D</v>
          </cell>
          <cell r="B559" t="str">
            <v>KARL STORZ SmartScreen</v>
          </cell>
          <cell r="C559">
            <v>0</v>
          </cell>
          <cell r="D559">
            <v>1536.39</v>
          </cell>
        </row>
        <row r="560">
          <cell r="A560" t="str">
            <v>20048020_E</v>
          </cell>
          <cell r="B560" t="str">
            <v>KARL STORZ SmartScreen</v>
          </cell>
          <cell r="C560">
            <v>0</v>
          </cell>
          <cell r="D560">
            <v>1257.9000000000001</v>
          </cell>
        </row>
        <row r="561">
          <cell r="A561" t="str">
            <v>20048020_F</v>
          </cell>
          <cell r="B561" t="str">
            <v>KARL STORZ SmartScreen</v>
          </cell>
          <cell r="C561">
            <v>0</v>
          </cell>
          <cell r="D561">
            <v>1272.1400000000001</v>
          </cell>
        </row>
        <row r="562">
          <cell r="A562" t="str">
            <v>20048020_G</v>
          </cell>
          <cell r="B562" t="str">
            <v>KARL STORZ SmartScreen</v>
          </cell>
          <cell r="C562">
            <v>11</v>
          </cell>
          <cell r="D562">
            <v>1189.97</v>
          </cell>
        </row>
        <row r="563">
          <cell r="A563">
            <v>20050020</v>
          </cell>
          <cell r="B563" t="str">
            <v>KARL STORZ MI-Report 20050020</v>
          </cell>
          <cell r="C563">
            <v>0</v>
          </cell>
          <cell r="D563">
            <v>1365</v>
          </cell>
        </row>
        <row r="564">
          <cell r="A564" t="str">
            <v>20050020_B</v>
          </cell>
          <cell r="B564" t="str">
            <v>KARL STORZ MI-Report 20050020</v>
          </cell>
          <cell r="C564">
            <v>0</v>
          </cell>
          <cell r="D564">
            <v>0</v>
          </cell>
        </row>
        <row r="565">
          <cell r="A565">
            <v>20096020</v>
          </cell>
          <cell r="B565" t="str">
            <v>KARL STORZ AIDA control</v>
          </cell>
          <cell r="C565">
            <v>0</v>
          </cell>
          <cell r="D565">
            <v>0</v>
          </cell>
        </row>
        <row r="566">
          <cell r="A566">
            <v>20096120</v>
          </cell>
          <cell r="B566" t="str">
            <v>KARL STORZ AIDA control</v>
          </cell>
          <cell r="C566">
            <v>0</v>
          </cell>
          <cell r="D566">
            <v>1090</v>
          </cell>
        </row>
        <row r="567">
          <cell r="A567">
            <v>20097020</v>
          </cell>
          <cell r="B567" t="str">
            <v>KARL STORZ OR1 control</v>
          </cell>
          <cell r="C567">
            <v>0</v>
          </cell>
          <cell r="D567">
            <v>0</v>
          </cell>
        </row>
        <row r="568">
          <cell r="A568" t="str">
            <v>20097020-1</v>
          </cell>
          <cell r="B568" t="str">
            <v>KARL STORZ OR1 control</v>
          </cell>
          <cell r="C568">
            <v>0</v>
          </cell>
          <cell r="D568">
            <v>0</v>
          </cell>
        </row>
        <row r="569">
          <cell r="A569" t="str">
            <v>20097120-1</v>
          </cell>
          <cell r="B569" t="str">
            <v>KARL STORZ OR1 control NEO</v>
          </cell>
          <cell r="C569">
            <v>0</v>
          </cell>
          <cell r="D569">
            <v>500</v>
          </cell>
        </row>
        <row r="570">
          <cell r="A570" t="str">
            <v>20097120-1B</v>
          </cell>
          <cell r="B570" t="str">
            <v>KARL STORZ OR1 control NEO Rev. B</v>
          </cell>
          <cell r="C570">
            <v>0</v>
          </cell>
          <cell r="D570">
            <v>1130</v>
          </cell>
        </row>
        <row r="571">
          <cell r="A571" t="str">
            <v>20097120-1C</v>
          </cell>
          <cell r="B571" t="str">
            <v>KARL STORZ OR1 control NEO Rev. C</v>
          </cell>
          <cell r="C571">
            <v>0</v>
          </cell>
          <cell r="D571">
            <v>1025</v>
          </cell>
        </row>
        <row r="572">
          <cell r="A572" t="str">
            <v>20097120-1C_B</v>
          </cell>
          <cell r="B572" t="str">
            <v>KARL STORZ OR1 control NEO</v>
          </cell>
          <cell r="C572">
            <v>0</v>
          </cell>
          <cell r="D572">
            <v>1005.71</v>
          </cell>
        </row>
        <row r="573">
          <cell r="A573" t="str">
            <v>20097120-1C_C</v>
          </cell>
          <cell r="B573" t="str">
            <v>KARL STORZ OR1 control NEO</v>
          </cell>
          <cell r="C573">
            <v>0</v>
          </cell>
          <cell r="D573">
            <v>1011.24</v>
          </cell>
        </row>
        <row r="574">
          <cell r="A574" t="str">
            <v>20097120-1C_D</v>
          </cell>
          <cell r="B574" t="str">
            <v>KARL STORZ OR1 control NEO</v>
          </cell>
          <cell r="C574">
            <v>0</v>
          </cell>
          <cell r="D574">
            <v>977.77</v>
          </cell>
        </row>
        <row r="575">
          <cell r="A575" t="str">
            <v>20097120-1C_E</v>
          </cell>
          <cell r="B575" t="str">
            <v>KARL STORZ OR1 control NEO</v>
          </cell>
          <cell r="C575">
            <v>0</v>
          </cell>
          <cell r="D575">
            <v>975.65</v>
          </cell>
        </row>
        <row r="576">
          <cell r="A576" t="str">
            <v>20097120-1C_F</v>
          </cell>
          <cell r="B576" t="str">
            <v>KARL STORZ OR1 control NEO</v>
          </cell>
          <cell r="C576">
            <v>0</v>
          </cell>
          <cell r="D576">
            <v>962.87</v>
          </cell>
        </row>
        <row r="577">
          <cell r="A577" t="str">
            <v>20097120-1C_G</v>
          </cell>
          <cell r="B577" t="str">
            <v>KARL STORZ OR1 control NEO</v>
          </cell>
          <cell r="C577">
            <v>1</v>
          </cell>
          <cell r="D577">
            <v>955.66</v>
          </cell>
        </row>
        <row r="578">
          <cell r="A578" t="str">
            <v>20097120-1C_H</v>
          </cell>
          <cell r="B578" t="str">
            <v>KARL STORZ OR1 control NEO</v>
          </cell>
          <cell r="C578">
            <v>0</v>
          </cell>
          <cell r="D578">
            <v>963.65</v>
          </cell>
        </row>
        <row r="579">
          <cell r="A579" t="str">
            <v>20097120-1C_I</v>
          </cell>
          <cell r="B579" t="str">
            <v>KARL STORZ OR1 control NEO</v>
          </cell>
          <cell r="C579">
            <v>0</v>
          </cell>
          <cell r="D579">
            <v>963.72</v>
          </cell>
        </row>
        <row r="580">
          <cell r="A580" t="str">
            <v>20097120-1C_J</v>
          </cell>
          <cell r="B580" t="str">
            <v>KARL STORZ OR1 control NEO</v>
          </cell>
          <cell r="C580">
            <v>1</v>
          </cell>
          <cell r="D580">
            <v>991.15</v>
          </cell>
        </row>
        <row r="581">
          <cell r="A581" t="str">
            <v>20097120-1C_K</v>
          </cell>
          <cell r="B581" t="str">
            <v>KARL STORZ OR1 control NEO</v>
          </cell>
          <cell r="C581">
            <v>0</v>
          </cell>
          <cell r="D581">
            <v>991.11</v>
          </cell>
        </row>
        <row r="582">
          <cell r="A582">
            <v>201</v>
          </cell>
          <cell r="B582" t="str">
            <v>Nachberechnung Vor-Ort-Service 36 Monate</v>
          </cell>
          <cell r="C582">
            <v>-1</v>
          </cell>
          <cell r="D582">
            <v>74</v>
          </cell>
        </row>
        <row r="583">
          <cell r="A583">
            <v>2010124</v>
          </cell>
          <cell r="B583" t="str">
            <v>Frontbezel ECE1290S Beige/Silver "Tulip"</v>
          </cell>
          <cell r="C583">
            <v>0</v>
          </cell>
          <cell r="D583">
            <v>4.5</v>
          </cell>
        </row>
        <row r="584">
          <cell r="A584">
            <v>2010125</v>
          </cell>
          <cell r="B584" t="str">
            <v>Frontbezel ECE1290B Black/Silver "Tulip"</v>
          </cell>
          <cell r="C584">
            <v>0</v>
          </cell>
          <cell r="D584">
            <v>4.5</v>
          </cell>
        </row>
        <row r="585">
          <cell r="A585">
            <v>2010126</v>
          </cell>
          <cell r="B585" t="str">
            <v>Gehäuse Standfuß PC40175 (4er Set)</v>
          </cell>
          <cell r="C585">
            <v>95</v>
          </cell>
          <cell r="D585">
            <v>1.51</v>
          </cell>
        </row>
        <row r="586">
          <cell r="A586">
            <v>2010141</v>
          </cell>
          <cell r="B586" t="str">
            <v>Geh. Chenbro SR107/8HD/Tower opt.19"/5HE [Ohne NT]</v>
          </cell>
          <cell r="C586">
            <v>0</v>
          </cell>
          <cell r="D586">
            <v>99</v>
          </cell>
        </row>
        <row r="587">
          <cell r="A587">
            <v>2010158</v>
          </cell>
          <cell r="B587" t="str">
            <v>Ever Case ECE1290 IO 2xUSB2.0/MIC/LINEOUT/1394</v>
          </cell>
          <cell r="C587">
            <v>0</v>
          </cell>
          <cell r="D587">
            <v>6</v>
          </cell>
        </row>
        <row r="588">
          <cell r="A588">
            <v>2010166</v>
          </cell>
          <cell r="B588" t="str">
            <v>IO Einbaub. 2xUSB2.0/MIC/LINEOUT/1394 PC607(HD+AC)</v>
          </cell>
          <cell r="C588">
            <v>0</v>
          </cell>
          <cell r="D588">
            <v>5</v>
          </cell>
        </row>
        <row r="589">
          <cell r="A589">
            <v>2010188</v>
          </cell>
          <cell r="B589" t="str">
            <v>IO Einbaub. 2xUSB2.0/MIC/LineOut/1394 PC307/607 R2</v>
          </cell>
          <cell r="C589">
            <v>0</v>
          </cell>
          <cell r="D589">
            <v>5</v>
          </cell>
        </row>
        <row r="590">
          <cell r="A590">
            <v>2010192</v>
          </cell>
          <cell r="B590" t="str">
            <v>Ever Case ECE1290B Front panel neutral black+Sil.</v>
          </cell>
          <cell r="C590">
            <v>0</v>
          </cell>
          <cell r="D590">
            <v>8</v>
          </cell>
        </row>
        <row r="591">
          <cell r="A591">
            <v>2010206</v>
          </cell>
          <cell r="B591" t="str">
            <v>Ever Case ECE1290B Front panel MCD beige+Sil.</v>
          </cell>
          <cell r="C591">
            <v>0</v>
          </cell>
          <cell r="D591">
            <v>5</v>
          </cell>
        </row>
        <row r="592">
          <cell r="A592">
            <v>2010215</v>
          </cell>
          <cell r="B592" t="str">
            <v>Gehäuse Chenbro PC60782 Neut.SDL</v>
          </cell>
          <cell r="C592">
            <v>0</v>
          </cell>
          <cell r="D592">
            <v>3.5</v>
          </cell>
        </row>
        <row r="593">
          <cell r="A593">
            <v>2010216</v>
          </cell>
          <cell r="B593" t="str">
            <v>Gehäuse Chenbro PC60782 Neut. SDR</v>
          </cell>
          <cell r="C593">
            <v>0</v>
          </cell>
          <cell r="D593">
            <v>3.5</v>
          </cell>
        </row>
        <row r="594">
          <cell r="A594">
            <v>2010220</v>
          </cell>
          <cell r="B594" t="str">
            <v>Chenbro PC607 / 307 Sub-Panel silber "Medical-Line</v>
          </cell>
          <cell r="C594">
            <v>0</v>
          </cell>
          <cell r="D594">
            <v>2</v>
          </cell>
        </row>
        <row r="595">
          <cell r="A595">
            <v>2010222</v>
          </cell>
          <cell r="B595" t="str">
            <v>Chenbro Kabel für Mini SAS BP SFFF-8087=&gt;SFFF-8087</v>
          </cell>
          <cell r="C595">
            <v>0</v>
          </cell>
          <cell r="D595">
            <v>18</v>
          </cell>
        </row>
        <row r="596">
          <cell r="A596">
            <v>2010234</v>
          </cell>
          <cell r="B596" t="str">
            <v>Chenbro Kabel für Mini SAS BP</v>
          </cell>
          <cell r="C596">
            <v>0</v>
          </cell>
          <cell r="D596">
            <v>15</v>
          </cell>
        </row>
        <row r="597">
          <cell r="A597">
            <v>2020019</v>
          </cell>
          <cell r="B597" t="str">
            <v>YY Geh.  Intel SC5250/SC5200 5-fach SCSI Backpl.**</v>
          </cell>
          <cell r="C597">
            <v>0</v>
          </cell>
          <cell r="D597">
            <v>238</v>
          </cell>
        </row>
        <row r="598">
          <cell r="A598">
            <v>2020107</v>
          </cell>
          <cell r="B598" t="str">
            <v>19" Umrüstkit (5 HE) für Intel SC5300 Gehäuse</v>
          </cell>
          <cell r="C598">
            <v>0</v>
          </cell>
          <cell r="D598">
            <v>88</v>
          </cell>
        </row>
        <row r="599">
          <cell r="A599">
            <v>2020108</v>
          </cell>
          <cell r="B599" t="str">
            <v>Backplane 6-fach S-ATA für SC5300 Gehäuse</v>
          </cell>
          <cell r="C599">
            <v>0</v>
          </cell>
          <cell r="D599">
            <v>125</v>
          </cell>
        </row>
        <row r="600">
          <cell r="A600">
            <v>2020109</v>
          </cell>
          <cell r="B600" t="str">
            <v>Backplane 6-fach SCSI für SC5300 Gehäuse</v>
          </cell>
          <cell r="C600">
            <v>0</v>
          </cell>
          <cell r="D600">
            <v>125</v>
          </cell>
        </row>
        <row r="601">
          <cell r="A601">
            <v>2020110</v>
          </cell>
          <cell r="B601" t="str">
            <v>Backplane 4-fach SCSI für SC5300 Gehäuse</v>
          </cell>
          <cell r="C601">
            <v>0</v>
          </cell>
          <cell r="D601">
            <v>109</v>
          </cell>
        </row>
        <row r="602">
          <cell r="A602">
            <v>2020113</v>
          </cell>
          <cell r="B602" t="str">
            <v>Backplane SCSI für SR2400 Gehäuse</v>
          </cell>
          <cell r="C602">
            <v>0</v>
          </cell>
          <cell r="D602">
            <v>189</v>
          </cell>
        </row>
        <row r="603">
          <cell r="A603">
            <v>2020120</v>
          </cell>
          <cell r="B603" t="str">
            <v>Netzteil REDUNDANT f.Intel SC5300LX/BRP/730 Watt</v>
          </cell>
          <cell r="C603">
            <v>0</v>
          </cell>
          <cell r="D603">
            <v>115</v>
          </cell>
        </row>
        <row r="604">
          <cell r="A604">
            <v>2020121</v>
          </cell>
          <cell r="B604" t="str">
            <v>Netzteil REDUNDANT f.Intel SR2400/700 Watt</v>
          </cell>
          <cell r="C604">
            <v>0</v>
          </cell>
          <cell r="D604">
            <v>175</v>
          </cell>
        </row>
        <row r="605">
          <cell r="A605">
            <v>2020122</v>
          </cell>
          <cell r="B605" t="str">
            <v>Netzteil für Intel SC5300BASE/SC5275-E 600Watt***</v>
          </cell>
          <cell r="C605">
            <v>0</v>
          </cell>
          <cell r="D605">
            <v>98</v>
          </cell>
        </row>
        <row r="606">
          <cell r="A606">
            <v>2020125</v>
          </cell>
          <cell r="B606" t="str">
            <v>Intel SC5300 CD/DVD/FDD Bracket</v>
          </cell>
          <cell r="C606">
            <v>0</v>
          </cell>
          <cell r="D606">
            <v>29</v>
          </cell>
        </row>
        <row r="607">
          <cell r="A607">
            <v>2020130</v>
          </cell>
          <cell r="B607" t="str">
            <v>Frontbezel BLACK für Intel SR2400/SR2500/SR26xx</v>
          </cell>
          <cell r="C607">
            <v>0</v>
          </cell>
          <cell r="D607">
            <v>16.829999999999998</v>
          </cell>
        </row>
        <row r="608">
          <cell r="A608">
            <v>2020157</v>
          </cell>
          <cell r="B608" t="str">
            <v>Backplane 6-fach SAS/SATA-II für SC5300 Gehäuse</v>
          </cell>
          <cell r="C608">
            <v>0</v>
          </cell>
          <cell r="D608">
            <v>125</v>
          </cell>
        </row>
        <row r="609">
          <cell r="A609">
            <v>2020170</v>
          </cell>
          <cell r="B609" t="str">
            <v>Netzteil REDUNDANT f.Intel SC5400BRP/LX/830 Watt</v>
          </cell>
          <cell r="C609">
            <v>0</v>
          </cell>
          <cell r="D609">
            <v>138</v>
          </cell>
        </row>
        <row r="610">
          <cell r="A610">
            <v>2020173</v>
          </cell>
          <cell r="B610" t="str">
            <v>Midplane passiv für SR1550/SR2500/SR26xx Gehäuse</v>
          </cell>
          <cell r="C610">
            <v>0</v>
          </cell>
          <cell r="D610">
            <v>95</v>
          </cell>
        </row>
        <row r="611">
          <cell r="A611">
            <v>2020186</v>
          </cell>
          <cell r="B611" t="str">
            <v>Intel SC5400 CD/DVD/FDD Bracket</v>
          </cell>
          <cell r="C611">
            <v>0</v>
          </cell>
          <cell r="D611">
            <v>38</v>
          </cell>
        </row>
        <row r="612">
          <cell r="A612">
            <v>2020188</v>
          </cell>
          <cell r="B612" t="str">
            <v>Backplane 4-fach SAS für SC5400BRP/LX EXP.</v>
          </cell>
          <cell r="C612">
            <v>0</v>
          </cell>
          <cell r="D612">
            <v>100</v>
          </cell>
        </row>
        <row r="613">
          <cell r="A613">
            <v>2020189</v>
          </cell>
          <cell r="B613" t="str">
            <v>Backplane 6-fach SAS für SC5400BRP/LX EXP.</v>
          </cell>
          <cell r="C613">
            <v>0</v>
          </cell>
          <cell r="D613">
            <v>150</v>
          </cell>
        </row>
        <row r="614">
          <cell r="A614">
            <v>2020191</v>
          </cell>
          <cell r="B614" t="str">
            <v>19" Geh. Intel SR2500 Ersatz/-Zusatzlüfter (3 Stk)</v>
          </cell>
          <cell r="C614">
            <v>0</v>
          </cell>
          <cell r="D614">
            <v>48</v>
          </cell>
        </row>
        <row r="615">
          <cell r="A615">
            <v>2020229</v>
          </cell>
          <cell r="B615" t="str">
            <v>Netzteil Red. f.Intel SC5600BRP/LX/SR26xx/750 Watt</v>
          </cell>
          <cell r="C615">
            <v>0</v>
          </cell>
          <cell r="D615">
            <v>165</v>
          </cell>
        </row>
        <row r="616">
          <cell r="A616">
            <v>2020232</v>
          </cell>
          <cell r="B616" t="str">
            <v>Geh.  Intel SC5600LX (RigginsT)</v>
          </cell>
          <cell r="C616">
            <v>0</v>
          </cell>
          <cell r="D616">
            <v>400.92</v>
          </cell>
        </row>
        <row r="617">
          <cell r="A617">
            <v>2020252</v>
          </cell>
          <cell r="B617" t="str">
            <v>Frontpanel für SR16xx/SR26xx (LCD)</v>
          </cell>
          <cell r="C617">
            <v>0</v>
          </cell>
          <cell r="D617">
            <v>89</v>
          </cell>
        </row>
        <row r="618">
          <cell r="A618">
            <v>2020254</v>
          </cell>
          <cell r="B618" t="str">
            <v>Gehäuse AC2 RiserKarte PCIe x1</v>
          </cell>
          <cell r="C618">
            <v>14</v>
          </cell>
          <cell r="D618">
            <v>23.6</v>
          </cell>
        </row>
        <row r="619">
          <cell r="A619">
            <v>2020267</v>
          </cell>
          <cell r="B619" t="str">
            <v>Riser Karte Ably 1HE/2HE PCIe x16 GH-PELX16-C7</v>
          </cell>
          <cell r="C619">
            <v>79</v>
          </cell>
          <cell r="D619">
            <v>22.52</v>
          </cell>
        </row>
        <row r="620">
          <cell r="A620" t="str">
            <v>20205501-140</v>
          </cell>
          <cell r="B620" t="str">
            <v>AIDA HD Connect with SmartScreen (DVD)</v>
          </cell>
          <cell r="C620">
            <v>0</v>
          </cell>
          <cell r="D620">
            <v>4934.1899999999996</v>
          </cell>
        </row>
        <row r="621">
          <cell r="A621" t="str">
            <v>20205501-140_A</v>
          </cell>
          <cell r="B621" t="str">
            <v>AIDA HD Connect with SmartScreen DIECAST</v>
          </cell>
          <cell r="C621">
            <v>0</v>
          </cell>
          <cell r="D621">
            <v>0</v>
          </cell>
        </row>
        <row r="622">
          <cell r="A622" t="str">
            <v>20205501-140_AA</v>
          </cell>
          <cell r="B622" t="str">
            <v>AIDA HD Connect with SmartScreen (Blu-ray Read)</v>
          </cell>
          <cell r="C622">
            <v>0</v>
          </cell>
          <cell r="D622">
            <v>5110.49</v>
          </cell>
        </row>
        <row r="623">
          <cell r="A623" t="str">
            <v>20205501-140_AB</v>
          </cell>
          <cell r="B623" t="str">
            <v>AIDA HD Connect with SmartScreen (Blu-ray Read)</v>
          </cell>
          <cell r="C623">
            <v>0</v>
          </cell>
          <cell r="D623">
            <v>2241.21</v>
          </cell>
        </row>
        <row r="624">
          <cell r="A624" t="str">
            <v>20205501-140_AC</v>
          </cell>
          <cell r="B624" t="str">
            <v>AIDA HD Connect with SmartScreen (Blu-ray Read)</v>
          </cell>
          <cell r="C624">
            <v>0</v>
          </cell>
          <cell r="D624">
            <v>0</v>
          </cell>
        </row>
        <row r="625">
          <cell r="A625" t="str">
            <v>20205501-140_AD</v>
          </cell>
          <cell r="B625" t="str">
            <v>AIDA HD Connect with SmartScreen (Blu-ray Read)</v>
          </cell>
          <cell r="C625">
            <v>0</v>
          </cell>
          <cell r="D625">
            <v>5070.76</v>
          </cell>
        </row>
        <row r="626">
          <cell r="A626" t="str">
            <v>20205501-140_AE</v>
          </cell>
          <cell r="B626" t="str">
            <v>AIDA HD Connect with SmartScreen (Blu-ray Read)</v>
          </cell>
          <cell r="C626">
            <v>0</v>
          </cell>
          <cell r="D626">
            <v>4847</v>
          </cell>
        </row>
        <row r="627">
          <cell r="A627" t="str">
            <v>20205501-140_AF</v>
          </cell>
          <cell r="B627" t="str">
            <v>AIDA HD Connect with SmartScreen (Blu-ray Read)</v>
          </cell>
          <cell r="C627">
            <v>0</v>
          </cell>
          <cell r="D627">
            <v>2235.63</v>
          </cell>
        </row>
        <row r="628">
          <cell r="A628" t="str">
            <v>20205501-140_AG</v>
          </cell>
          <cell r="B628" t="str">
            <v>AIDA HD Connect with SmartScreen (Blu-ray Read)</v>
          </cell>
          <cell r="C628">
            <v>0</v>
          </cell>
          <cell r="D628">
            <v>4845</v>
          </cell>
        </row>
        <row r="629">
          <cell r="A629" t="str">
            <v>20205501-140_AH</v>
          </cell>
          <cell r="B629" t="str">
            <v>AIDA HD Connect with SmartScreen (Blu-ray Read)</v>
          </cell>
          <cell r="C629">
            <v>0</v>
          </cell>
          <cell r="D629">
            <v>5152.7</v>
          </cell>
        </row>
        <row r="630">
          <cell r="A630" t="str">
            <v>20205501-140_AI</v>
          </cell>
          <cell r="B630" t="str">
            <v>AIDA HD Connect with SmartScreen (Blu-ray Read)</v>
          </cell>
          <cell r="C630">
            <v>0</v>
          </cell>
          <cell r="D630">
            <v>4485</v>
          </cell>
        </row>
        <row r="631">
          <cell r="A631" t="str">
            <v>20205501-140_AJ</v>
          </cell>
          <cell r="B631" t="str">
            <v>AIDA HD Connect with SmartScreen (Blu-ray Read)</v>
          </cell>
          <cell r="C631">
            <v>0</v>
          </cell>
          <cell r="D631">
            <v>4398.1499999999996</v>
          </cell>
        </row>
        <row r="632">
          <cell r="A632" t="str">
            <v>20205501-140_AK</v>
          </cell>
          <cell r="B632" t="str">
            <v>AIDA HD Connect with SmartScreen (Blu-ray Read)</v>
          </cell>
          <cell r="C632">
            <v>0</v>
          </cell>
          <cell r="D632">
            <v>4387.2299999999996</v>
          </cell>
        </row>
        <row r="633">
          <cell r="A633" t="str">
            <v>20205501-140_AL</v>
          </cell>
          <cell r="B633" t="str">
            <v>AIDA HD Connect with SmartScreen (Blu-ray Read)</v>
          </cell>
          <cell r="C633">
            <v>0</v>
          </cell>
          <cell r="D633">
            <v>4393.45</v>
          </cell>
        </row>
        <row r="634">
          <cell r="A634" t="str">
            <v>20205501-140_AM</v>
          </cell>
          <cell r="B634" t="str">
            <v>AIDA HD Connect with SmartScreen (Blu-ray Read)</v>
          </cell>
          <cell r="C634">
            <v>0</v>
          </cell>
          <cell r="D634">
            <v>4387.6400000000003</v>
          </cell>
        </row>
        <row r="635">
          <cell r="A635" t="str">
            <v>20205501-140_AN</v>
          </cell>
          <cell r="B635" t="str">
            <v>AIDA HD Connect with SmartScreen (Blu-ray Read)</v>
          </cell>
          <cell r="C635">
            <v>0</v>
          </cell>
          <cell r="D635">
            <v>4368.9799999999996</v>
          </cell>
        </row>
        <row r="636">
          <cell r="A636" t="str">
            <v>20205501-140_AO</v>
          </cell>
          <cell r="B636" t="str">
            <v>AIDA HD Connect with SmartScreen (Blu-ray Read)</v>
          </cell>
          <cell r="C636">
            <v>0</v>
          </cell>
          <cell r="D636">
            <v>3340.88</v>
          </cell>
        </row>
        <row r="637">
          <cell r="A637" t="str">
            <v>20205501-140_AP</v>
          </cell>
          <cell r="B637" t="str">
            <v>AIDA HD Connect with SmartScreen (Blu-ray Read)</v>
          </cell>
          <cell r="C637">
            <v>0</v>
          </cell>
          <cell r="D637">
            <v>4368.53</v>
          </cell>
        </row>
        <row r="638">
          <cell r="A638" t="str">
            <v>20205501-140_AQ</v>
          </cell>
          <cell r="B638" t="str">
            <v>AIDA HD Connect with SmartScreen (Blu-ray Read)</v>
          </cell>
          <cell r="C638">
            <v>0</v>
          </cell>
          <cell r="D638">
            <v>4347.4799999999996</v>
          </cell>
        </row>
        <row r="639">
          <cell r="A639" t="str">
            <v>20205501-140_AR</v>
          </cell>
          <cell r="B639" t="str">
            <v>AIDA HD Connect with SmartScreen (Blu-ray Read)</v>
          </cell>
          <cell r="C639">
            <v>0</v>
          </cell>
          <cell r="D639">
            <v>4346.8599999999997</v>
          </cell>
        </row>
        <row r="640">
          <cell r="A640" t="str">
            <v>20205501-140_AS</v>
          </cell>
          <cell r="B640" t="str">
            <v>AIDA HD Connect with SmartScreen (Blu-ray Read)</v>
          </cell>
          <cell r="C640">
            <v>0</v>
          </cell>
          <cell r="D640">
            <v>4095.45</v>
          </cell>
        </row>
        <row r="641">
          <cell r="A641" t="str">
            <v>20205501-140_AT</v>
          </cell>
          <cell r="B641" t="str">
            <v>AIDA HD Connect with SmartScreen (Blu-ray Read)</v>
          </cell>
          <cell r="C641">
            <v>36</v>
          </cell>
          <cell r="D641">
            <v>8005.1</v>
          </cell>
        </row>
        <row r="642">
          <cell r="A642" t="str">
            <v>20205501-140_B</v>
          </cell>
          <cell r="B642" t="str">
            <v>AIDA HD Connect with SmartScreen (DVD drive) Proto</v>
          </cell>
          <cell r="C642">
            <v>0</v>
          </cell>
          <cell r="D642">
            <v>2204.09</v>
          </cell>
        </row>
        <row r="643">
          <cell r="A643" t="str">
            <v>20205501-140_Y</v>
          </cell>
          <cell r="B643" t="str">
            <v>AIDA HD Connect with SmartScreen (Blu-ray Read)</v>
          </cell>
          <cell r="C643">
            <v>0</v>
          </cell>
          <cell r="D643">
            <v>4815</v>
          </cell>
        </row>
        <row r="644">
          <cell r="A644" t="str">
            <v>20205501-140_Z</v>
          </cell>
          <cell r="B644" t="str">
            <v>AIDA HD Connect with SmartScreen (Blu-ray Read)</v>
          </cell>
          <cell r="C644">
            <v>0</v>
          </cell>
          <cell r="D644">
            <v>5036.8999999999996</v>
          </cell>
        </row>
        <row r="645">
          <cell r="A645" t="str">
            <v>20205502-1</v>
          </cell>
          <cell r="B645" t="str">
            <v>AIDA HD Connect w/o SmartScreen (DVD)</v>
          </cell>
          <cell r="C645">
            <v>0</v>
          </cell>
          <cell r="D645">
            <v>3281.48</v>
          </cell>
        </row>
        <row r="646">
          <cell r="A646" t="str">
            <v>20205502-1_AB</v>
          </cell>
          <cell r="B646" t="str">
            <v>AIDA HD Connect w/o SmartScreen (Blu-ray Read)</v>
          </cell>
          <cell r="C646">
            <v>0</v>
          </cell>
          <cell r="D646">
            <v>0</v>
          </cell>
        </row>
        <row r="647">
          <cell r="A647" t="str">
            <v>20205502-1_AD</v>
          </cell>
          <cell r="B647" t="str">
            <v>AIDA HD Connect w/o SmartScreen (Blu-ray Read)</v>
          </cell>
          <cell r="C647">
            <v>0</v>
          </cell>
          <cell r="D647">
            <v>0</v>
          </cell>
        </row>
        <row r="648">
          <cell r="A648" t="str">
            <v>20205502-1_AG</v>
          </cell>
          <cell r="B648" t="str">
            <v>AIDA HD Connect w/o SmartScreen (Blu-ray Read)</v>
          </cell>
          <cell r="C648">
            <v>0</v>
          </cell>
          <cell r="D648">
            <v>0</v>
          </cell>
        </row>
        <row r="649">
          <cell r="A649" t="str">
            <v>20205502-1_AH</v>
          </cell>
          <cell r="B649" t="str">
            <v>AIDA HD Connect w/o SmartScreen (Blu-ray Read)</v>
          </cell>
          <cell r="C649">
            <v>0</v>
          </cell>
          <cell r="D649">
            <v>2750</v>
          </cell>
        </row>
        <row r="650">
          <cell r="A650" t="str">
            <v>20205502-1_AI</v>
          </cell>
          <cell r="B650" t="str">
            <v>AIDA HD Connect w/o SmartScreen (Blu-ray Read)</v>
          </cell>
          <cell r="C650">
            <v>0</v>
          </cell>
          <cell r="D650">
            <v>0</v>
          </cell>
        </row>
        <row r="651">
          <cell r="A651" t="str">
            <v>20205502-1_AJ</v>
          </cell>
          <cell r="B651" t="str">
            <v>AIDA HD Connect w/o SmartScreen (Blu-ray Read)</v>
          </cell>
          <cell r="C651">
            <v>0</v>
          </cell>
          <cell r="D651">
            <v>0</v>
          </cell>
        </row>
        <row r="652">
          <cell r="A652" t="str">
            <v>20205502-1_AK</v>
          </cell>
          <cell r="B652" t="str">
            <v>AIDA HD Connect w/o SmartScreen (Blu-ray Read)</v>
          </cell>
          <cell r="C652">
            <v>0</v>
          </cell>
          <cell r="D652">
            <v>0</v>
          </cell>
        </row>
        <row r="653">
          <cell r="A653" t="str">
            <v>20205502-1_AL</v>
          </cell>
          <cell r="B653" t="str">
            <v>AIDA HD Connect w/o SmartScreen (Blu-ray Read)</v>
          </cell>
          <cell r="C653">
            <v>0</v>
          </cell>
          <cell r="D653">
            <v>0</v>
          </cell>
        </row>
        <row r="654">
          <cell r="A654" t="str">
            <v>20205502-1_AM</v>
          </cell>
          <cell r="B654" t="str">
            <v>AIDA HD Connect w/o SmartScreen (Blu-ray Read)</v>
          </cell>
          <cell r="C654">
            <v>0</v>
          </cell>
          <cell r="D654">
            <v>2719.94</v>
          </cell>
        </row>
        <row r="655">
          <cell r="A655" t="str">
            <v>20205502-1_AN</v>
          </cell>
          <cell r="B655" t="str">
            <v>AIDA HD Connect w/o SmartScreen (Blu-ray Read)</v>
          </cell>
          <cell r="C655">
            <v>2</v>
          </cell>
          <cell r="D655">
            <v>2687.19</v>
          </cell>
        </row>
        <row r="656">
          <cell r="A656" t="str">
            <v>20205502-1_X</v>
          </cell>
          <cell r="B656" t="str">
            <v>AIDA HD Connect w/o SmartScreen (Blu-ray Read)</v>
          </cell>
          <cell r="C656">
            <v>0</v>
          </cell>
          <cell r="D656">
            <v>0</v>
          </cell>
        </row>
        <row r="657">
          <cell r="A657" t="str">
            <v>20205502-1_Z</v>
          </cell>
          <cell r="B657" t="str">
            <v>AIDA HD Connect w/o SmartScreen (Blu-ray Read)</v>
          </cell>
          <cell r="C657">
            <v>0</v>
          </cell>
          <cell r="D657">
            <v>0</v>
          </cell>
        </row>
        <row r="658">
          <cell r="A658" t="str">
            <v>20205601-140</v>
          </cell>
          <cell r="B658" t="str">
            <v>AIDA HD Connect with SmartScreen (Blu-ray drive)</v>
          </cell>
          <cell r="C658">
            <v>0</v>
          </cell>
          <cell r="D658">
            <v>0</v>
          </cell>
        </row>
        <row r="659">
          <cell r="A659" t="str">
            <v>20205601-140_X</v>
          </cell>
          <cell r="B659" t="str">
            <v>AIDA HD Connect with SmartScreen (Blu-ray drive)</v>
          </cell>
          <cell r="C659">
            <v>0</v>
          </cell>
          <cell r="D659">
            <v>3623.78</v>
          </cell>
        </row>
        <row r="660">
          <cell r="A660" t="str">
            <v>20205602-1</v>
          </cell>
          <cell r="B660" t="str">
            <v>AIDA HD Connect w/o SmartScreen (Blu-ray drive)</v>
          </cell>
          <cell r="C660">
            <v>0</v>
          </cell>
          <cell r="D660">
            <v>3312.31</v>
          </cell>
        </row>
        <row r="661">
          <cell r="A661" t="str">
            <v>20205602-1_W</v>
          </cell>
          <cell r="B661" t="str">
            <v>AIDA HD Connect w/o SmartScreen (Blu-ray drive)</v>
          </cell>
          <cell r="C661">
            <v>0</v>
          </cell>
          <cell r="D661">
            <v>3375</v>
          </cell>
        </row>
        <row r="662">
          <cell r="A662" t="str">
            <v>20205701-140</v>
          </cell>
          <cell r="B662" t="str">
            <v>AIDA HD Connect Dual Channel w SmartScreen (DVD)</v>
          </cell>
          <cell r="C662">
            <v>0</v>
          </cell>
          <cell r="D662">
            <v>7299.33</v>
          </cell>
        </row>
        <row r="663">
          <cell r="A663" t="str">
            <v>20205701-140_F</v>
          </cell>
          <cell r="B663" t="str">
            <v>AIDA HD Connect Dual Channel w SmartScreen (DVD)</v>
          </cell>
          <cell r="C663">
            <v>0</v>
          </cell>
          <cell r="D663">
            <v>0</v>
          </cell>
        </row>
        <row r="664">
          <cell r="A664" t="str">
            <v>20205701-140_H</v>
          </cell>
          <cell r="B664" t="str">
            <v>AIDA HD Connect Dual Channel w SmartScreen (DVD)</v>
          </cell>
          <cell r="C664">
            <v>0</v>
          </cell>
          <cell r="D664">
            <v>0</v>
          </cell>
        </row>
        <row r="665">
          <cell r="A665" t="str">
            <v>20205701-140_I</v>
          </cell>
          <cell r="B665" t="str">
            <v>AIDA HD Connect Dual Channel w SmartScreen (DVD)</v>
          </cell>
          <cell r="C665">
            <v>0</v>
          </cell>
          <cell r="D665">
            <v>0</v>
          </cell>
        </row>
        <row r="666">
          <cell r="A666" t="str">
            <v>20205701-140_M</v>
          </cell>
          <cell r="B666" t="str">
            <v>AIDA HD Connect Dual Channel w SmartScreen (DVD)</v>
          </cell>
          <cell r="C666">
            <v>0</v>
          </cell>
          <cell r="D666">
            <v>0</v>
          </cell>
        </row>
        <row r="667">
          <cell r="A667" t="str">
            <v>20205701-140_N</v>
          </cell>
          <cell r="B667" t="str">
            <v>AIDA HD Connect Dual Channel w SmartScreen (DVD)</v>
          </cell>
          <cell r="C667">
            <v>0</v>
          </cell>
          <cell r="D667">
            <v>0</v>
          </cell>
        </row>
        <row r="668">
          <cell r="A668" t="str">
            <v>20205701-140_O</v>
          </cell>
          <cell r="B668" t="str">
            <v>AIDA HD Connect Dual Channel w SmartScreen (DVD)</v>
          </cell>
          <cell r="C668">
            <v>0</v>
          </cell>
          <cell r="D668">
            <v>0</v>
          </cell>
        </row>
        <row r="669">
          <cell r="A669" t="str">
            <v>20205701-140_P</v>
          </cell>
          <cell r="B669" t="str">
            <v>AIDA HD Connect Dual Channel w SmartScreen (DVD)</v>
          </cell>
          <cell r="C669">
            <v>0</v>
          </cell>
          <cell r="D669">
            <v>0</v>
          </cell>
        </row>
        <row r="670">
          <cell r="A670" t="str">
            <v>20205701-140_Q</v>
          </cell>
          <cell r="B670" t="str">
            <v>AIDA HD Connect Dual Channel w SmartScreen (DVD)</v>
          </cell>
          <cell r="C670">
            <v>0</v>
          </cell>
          <cell r="D670">
            <v>0</v>
          </cell>
        </row>
        <row r="671">
          <cell r="A671" t="str">
            <v>20205701-140_R</v>
          </cell>
          <cell r="B671" t="str">
            <v>AIDA HD Connect Dual Channel w SmartScreen (DVD)</v>
          </cell>
          <cell r="C671">
            <v>0</v>
          </cell>
          <cell r="D671">
            <v>0</v>
          </cell>
        </row>
        <row r="672">
          <cell r="A672" t="str">
            <v>20205701-140_S</v>
          </cell>
          <cell r="B672" t="str">
            <v>AIDA HD Connect Dual Channel w SmartScreen (DVD)</v>
          </cell>
          <cell r="C672">
            <v>0</v>
          </cell>
          <cell r="D672">
            <v>0</v>
          </cell>
        </row>
        <row r="673">
          <cell r="A673" t="str">
            <v>20205701-140_T</v>
          </cell>
          <cell r="B673" t="str">
            <v>AIDA HD Connect Dual Channel w SmartScreen (DVD)</v>
          </cell>
          <cell r="C673">
            <v>0</v>
          </cell>
          <cell r="D673">
            <v>0</v>
          </cell>
        </row>
        <row r="674">
          <cell r="A674" t="str">
            <v>20205701-140_U</v>
          </cell>
          <cell r="B674" t="str">
            <v>AIDA HD Connect Dual Channel w SmartScreen (DVD)</v>
          </cell>
          <cell r="C674">
            <v>0</v>
          </cell>
          <cell r="D674">
            <v>0</v>
          </cell>
        </row>
        <row r="675">
          <cell r="A675" t="str">
            <v>20205701-140_V</v>
          </cell>
          <cell r="B675" t="str">
            <v>AIDA HD Connect Dual Channel w SmartScreen (DVD)</v>
          </cell>
          <cell r="C675">
            <v>0</v>
          </cell>
          <cell r="D675">
            <v>0</v>
          </cell>
        </row>
        <row r="676">
          <cell r="A676" t="str">
            <v>20205702-1</v>
          </cell>
          <cell r="B676" t="str">
            <v>AIDA HD Connect Dual Channel w/o SmartScreen (DVD)</v>
          </cell>
          <cell r="C676">
            <v>0</v>
          </cell>
          <cell r="D676">
            <v>4960.6099999999997</v>
          </cell>
        </row>
        <row r="677">
          <cell r="A677" t="str">
            <v>20205702-1_G</v>
          </cell>
          <cell r="B677" t="str">
            <v>AIDA HD Connect Dual Channel w/o SmartScreen (DVD)</v>
          </cell>
          <cell r="C677">
            <v>0</v>
          </cell>
          <cell r="D677">
            <v>660.51</v>
          </cell>
        </row>
        <row r="678">
          <cell r="A678" t="str">
            <v>20205702-1_I</v>
          </cell>
          <cell r="B678" t="str">
            <v>AIDA HD Connect Dual Channel w/o SmartScreen (DVD)</v>
          </cell>
          <cell r="C678">
            <v>0</v>
          </cell>
          <cell r="D678">
            <v>0</v>
          </cell>
        </row>
        <row r="679">
          <cell r="A679" t="str">
            <v>20205702-1_J</v>
          </cell>
          <cell r="B679" t="str">
            <v>AIDA HD Connect Dual Channel w/o SmartScreen (DVD)</v>
          </cell>
          <cell r="C679">
            <v>0</v>
          </cell>
          <cell r="D679">
            <v>0</v>
          </cell>
        </row>
        <row r="680">
          <cell r="A680" t="str">
            <v>20205702-1_O</v>
          </cell>
          <cell r="B680" t="str">
            <v>AIDA HD Connect Dual Channel w/o SmartScreen (DVD)</v>
          </cell>
          <cell r="C680">
            <v>0</v>
          </cell>
          <cell r="D680">
            <v>0</v>
          </cell>
        </row>
        <row r="681">
          <cell r="A681" t="str">
            <v>20205702-1_P</v>
          </cell>
          <cell r="B681" t="str">
            <v>AIDA HD Connect Dual Channel w/o SmartScreen (DVD)</v>
          </cell>
          <cell r="C681">
            <v>0</v>
          </cell>
          <cell r="D681">
            <v>0</v>
          </cell>
        </row>
        <row r="682">
          <cell r="A682" t="str">
            <v>20205702-1_Q</v>
          </cell>
          <cell r="B682" t="str">
            <v>AIDA HD Connect Dual Channel w/o SmartScreen (DVD)</v>
          </cell>
          <cell r="C682">
            <v>0</v>
          </cell>
          <cell r="D682">
            <v>0</v>
          </cell>
        </row>
        <row r="683">
          <cell r="A683" t="str">
            <v>20205702-1_R</v>
          </cell>
          <cell r="B683" t="str">
            <v>AIDA HD Connect Dual Channel w/o SmartScreen (DVD)</v>
          </cell>
          <cell r="C683">
            <v>0</v>
          </cell>
          <cell r="D683">
            <v>0</v>
          </cell>
        </row>
        <row r="684">
          <cell r="A684" t="str">
            <v>20205702-1_S</v>
          </cell>
          <cell r="B684" t="str">
            <v>AIDA HD Connect Dual Channel w/o SmartScreen (DVD)</v>
          </cell>
          <cell r="C684">
            <v>0</v>
          </cell>
          <cell r="D684">
            <v>0</v>
          </cell>
        </row>
        <row r="685">
          <cell r="A685" t="str">
            <v>20205702-1_T</v>
          </cell>
          <cell r="B685" t="str">
            <v>AIDA HD Connect Dual Channel w/o SmartScreen (DVD)</v>
          </cell>
          <cell r="C685">
            <v>0</v>
          </cell>
          <cell r="D685">
            <v>0</v>
          </cell>
        </row>
        <row r="686">
          <cell r="A686">
            <v>203</v>
          </cell>
          <cell r="B686" t="str">
            <v xml:space="preserve"> Vor-Ort-Service 24 Monate</v>
          </cell>
          <cell r="C686">
            <v>-1</v>
          </cell>
          <cell r="D686">
            <v>46</v>
          </cell>
        </row>
        <row r="687">
          <cell r="A687">
            <v>2031026</v>
          </cell>
          <cell r="B687" t="str">
            <v>Geh. Slim Desktop 250W-Netzt.(Beige/Silber)</v>
          </cell>
          <cell r="C687">
            <v>0</v>
          </cell>
          <cell r="D687">
            <v>40</v>
          </cell>
        </row>
        <row r="688">
          <cell r="A688">
            <v>2031027</v>
          </cell>
          <cell r="B688" t="str">
            <v>Geh. Slim Desktop 250W-Netzt.(Black/Silber)</v>
          </cell>
          <cell r="C688">
            <v>0</v>
          </cell>
          <cell r="D688">
            <v>42</v>
          </cell>
        </row>
        <row r="689">
          <cell r="A689">
            <v>2031036</v>
          </cell>
          <cell r="B689" t="str">
            <v>Geh. Chenbro Mercury 40522B DT µATX 300W BLACK</v>
          </cell>
          <cell r="C689">
            <v>0</v>
          </cell>
          <cell r="D689">
            <v>42</v>
          </cell>
        </row>
        <row r="690">
          <cell r="A690">
            <v>2031041</v>
          </cell>
          <cell r="B690" t="str">
            <v>Geh. Chenbro Tower 61122 black (o.N.)</v>
          </cell>
          <cell r="C690">
            <v>0</v>
          </cell>
          <cell r="D690">
            <v>33</v>
          </cell>
        </row>
        <row r="691">
          <cell r="A691">
            <v>2031046</v>
          </cell>
          <cell r="B691" t="str">
            <v>Geh.  Terra ATX Midi Tower PC607 silver/beige o.NT</v>
          </cell>
          <cell r="C691">
            <v>0</v>
          </cell>
          <cell r="D691">
            <v>29</v>
          </cell>
        </row>
        <row r="692">
          <cell r="A692">
            <v>2031052</v>
          </cell>
          <cell r="B692" t="str">
            <v>Geh. Chenbro Midi Tower PC607 black (o.NT)</v>
          </cell>
          <cell r="C692">
            <v>0</v>
          </cell>
          <cell r="D692">
            <v>35</v>
          </cell>
        </row>
        <row r="693">
          <cell r="A693">
            <v>2031053</v>
          </cell>
          <cell r="B693" t="str">
            <v>Geh. Chenbro Midi Tower PC607 beige (o.NT)</v>
          </cell>
          <cell r="C693">
            <v>0</v>
          </cell>
          <cell r="D693">
            <v>32.5</v>
          </cell>
        </row>
        <row r="694">
          <cell r="A694">
            <v>2031058</v>
          </cell>
          <cell r="B694" t="str">
            <v>Gehäuse Mini Tower PC303 white/black o.NT</v>
          </cell>
          <cell r="C694">
            <v>0</v>
          </cell>
          <cell r="D694">
            <v>0</v>
          </cell>
        </row>
        <row r="695">
          <cell r="A695">
            <v>2031060</v>
          </cell>
          <cell r="B695" t="str">
            <v>Geh. Chenbro SR107/8HD/Tower opt.19"/5HE (o.N.)</v>
          </cell>
          <cell r="C695">
            <v>0</v>
          </cell>
          <cell r="D695">
            <v>800</v>
          </cell>
        </row>
        <row r="696">
          <cell r="A696">
            <v>2031062</v>
          </cell>
          <cell r="B696" t="str">
            <v>Geh.  Chenbro Midi-Tower PC607 beige o. NT Neutral</v>
          </cell>
          <cell r="C696">
            <v>0</v>
          </cell>
          <cell r="D696">
            <v>35</v>
          </cell>
        </row>
        <row r="697">
          <cell r="A697">
            <v>2031067</v>
          </cell>
          <cell r="B697" t="str">
            <v>Gehäuse ATX Midi Tower PC607</v>
          </cell>
          <cell r="C697">
            <v>0</v>
          </cell>
          <cell r="D697">
            <v>28</v>
          </cell>
        </row>
        <row r="698">
          <cell r="A698">
            <v>2031068</v>
          </cell>
          <cell r="B698" t="str">
            <v>Geh. Chenbro Midi Tower PC607 black (o.NT)neutral</v>
          </cell>
          <cell r="C698">
            <v>0</v>
          </cell>
          <cell r="D698">
            <v>29</v>
          </cell>
        </row>
        <row r="699">
          <cell r="A699">
            <v>2031070</v>
          </cell>
          <cell r="B699" t="str">
            <v>Geh.  Terra ATX Midi Tower PC607 white/blacko.NT</v>
          </cell>
          <cell r="C699">
            <v>0</v>
          </cell>
          <cell r="D699">
            <v>34</v>
          </cell>
        </row>
        <row r="700">
          <cell r="A700">
            <v>2031073</v>
          </cell>
          <cell r="B700" t="str">
            <v>Geh.  Terra ATX Midi Tower PC607 bla/sil 350W Br</v>
          </cell>
          <cell r="C700">
            <v>0</v>
          </cell>
          <cell r="D700">
            <v>40</v>
          </cell>
        </row>
        <row r="701">
          <cell r="A701">
            <v>204</v>
          </cell>
          <cell r="B701" t="str">
            <v>Vor-Ort-Service 36 Monate</v>
          </cell>
          <cell r="C701">
            <v>-7</v>
          </cell>
          <cell r="D701">
            <v>69</v>
          </cell>
        </row>
        <row r="702">
          <cell r="A702">
            <v>204444</v>
          </cell>
          <cell r="B702" t="str">
            <v>Z Samsung SyncMaster 932MP MO</v>
          </cell>
          <cell r="C702">
            <v>0</v>
          </cell>
          <cell r="D702">
            <v>359</v>
          </cell>
        </row>
        <row r="703">
          <cell r="A703">
            <v>204910</v>
          </cell>
          <cell r="B703" t="str">
            <v>AOC Monitor 174F 17" TFT</v>
          </cell>
          <cell r="C703">
            <v>0</v>
          </cell>
          <cell r="D703">
            <v>158</v>
          </cell>
        </row>
        <row r="704">
          <cell r="A704">
            <v>205</v>
          </cell>
          <cell r="B704" t="str">
            <v>Vor-Ort-Service 48 Monate</v>
          </cell>
          <cell r="C704">
            <v>-1</v>
          </cell>
          <cell r="D704">
            <v>92</v>
          </cell>
        </row>
        <row r="705">
          <cell r="A705">
            <v>2050005</v>
          </cell>
          <cell r="B705" t="str">
            <v>Geh. Dämmkit Midi-Tower MPM800 +XM</v>
          </cell>
          <cell r="C705">
            <v>0</v>
          </cell>
          <cell r="D705">
            <v>45</v>
          </cell>
        </row>
        <row r="706">
          <cell r="A706">
            <v>2050011</v>
          </cell>
          <cell r="B706" t="str">
            <v>Chenbro PC611 12CM Fan Holder</v>
          </cell>
          <cell r="C706">
            <v>0</v>
          </cell>
          <cell r="D706">
            <v>2.5</v>
          </cell>
        </row>
        <row r="707">
          <cell r="A707">
            <v>205166</v>
          </cell>
          <cell r="B707" t="str">
            <v>Philips 20" 200P7MG</v>
          </cell>
          <cell r="C707">
            <v>0</v>
          </cell>
          <cell r="D707">
            <v>358</v>
          </cell>
        </row>
        <row r="708">
          <cell r="A708">
            <v>2059006</v>
          </cell>
          <cell r="B708" t="str">
            <v>Gehäuse PANA.ceia MCD</v>
          </cell>
          <cell r="C708">
            <v>0</v>
          </cell>
          <cell r="D708">
            <v>169.25</v>
          </cell>
        </row>
        <row r="709">
          <cell r="A709">
            <v>2059007</v>
          </cell>
          <cell r="B709" t="str">
            <v>Gehäuse PANA.ceia Schiller</v>
          </cell>
          <cell r="C709">
            <v>0</v>
          </cell>
          <cell r="D709">
            <v>174.05</v>
          </cell>
        </row>
        <row r="710">
          <cell r="A710">
            <v>2059009</v>
          </cell>
          <cell r="B710" t="str">
            <v>Gehäuse PANA.ceia ICN</v>
          </cell>
          <cell r="C710">
            <v>0</v>
          </cell>
          <cell r="D710">
            <v>159</v>
          </cell>
        </row>
        <row r="711">
          <cell r="A711">
            <v>2059010</v>
          </cell>
          <cell r="B711" t="str">
            <v>Geh. Kohlstädt MPG Desktop Pana.caia Alphatron</v>
          </cell>
          <cell r="C711">
            <v>0</v>
          </cell>
          <cell r="D711">
            <v>149</v>
          </cell>
        </row>
        <row r="712">
          <cell r="A712">
            <v>2059016</v>
          </cell>
          <cell r="B712" t="str">
            <v>Gehäuse PANA.ceia MKT</v>
          </cell>
          <cell r="C712">
            <v>40</v>
          </cell>
          <cell r="D712">
            <v>172.7</v>
          </cell>
        </row>
        <row r="713">
          <cell r="A713">
            <v>2059017</v>
          </cell>
          <cell r="B713" t="str">
            <v>Gehäuse PANA.ceia Distributed Medical</v>
          </cell>
          <cell r="C713">
            <v>0</v>
          </cell>
          <cell r="D713">
            <v>159</v>
          </cell>
        </row>
        <row r="714">
          <cell r="A714">
            <v>2059018</v>
          </cell>
          <cell r="B714" t="str">
            <v>Gehäuse PANA.ceia neutral</v>
          </cell>
          <cell r="C714">
            <v>0</v>
          </cell>
          <cell r="D714">
            <v>169.25</v>
          </cell>
        </row>
        <row r="715">
          <cell r="A715">
            <v>2059019</v>
          </cell>
          <cell r="B715" t="str">
            <v>Gehäuse PANA.caia neutral ohne DVD</v>
          </cell>
          <cell r="C715">
            <v>0</v>
          </cell>
          <cell r="D715">
            <v>169.25</v>
          </cell>
        </row>
        <row r="716">
          <cell r="A716">
            <v>2059020</v>
          </cell>
          <cell r="B716" t="str">
            <v>Gehäuse PANA.ceia AMD HistoScanning</v>
          </cell>
          <cell r="C716">
            <v>0</v>
          </cell>
          <cell r="D716">
            <v>149</v>
          </cell>
        </row>
        <row r="717">
          <cell r="A717">
            <v>2059022</v>
          </cell>
          <cell r="B717" t="str">
            <v>Gehäuse AMD PC-Gehäuse Clinscanner</v>
          </cell>
          <cell r="C717">
            <v>0</v>
          </cell>
          <cell r="D717">
            <v>151.25</v>
          </cell>
        </row>
        <row r="718">
          <cell r="A718">
            <v>2059105</v>
          </cell>
          <cell r="B718" t="str">
            <v>Schraube M3x6mm V2A (4er Set)</v>
          </cell>
          <cell r="C718">
            <v>114</v>
          </cell>
          <cell r="D718">
            <v>0</v>
          </cell>
        </row>
        <row r="719">
          <cell r="A719">
            <v>2059106</v>
          </cell>
          <cell r="B719" t="str">
            <v>Geh. Kohlstädt Frontblende VEIO.vis</v>
          </cell>
          <cell r="C719">
            <v>0</v>
          </cell>
          <cell r="D719">
            <v>65</v>
          </cell>
        </row>
        <row r="720">
          <cell r="A720">
            <v>2059107</v>
          </cell>
          <cell r="B720" t="str">
            <v>Geh. Kohlstädt Frontblende KS,OR1 contr.20097020-1</v>
          </cell>
          <cell r="C720">
            <v>0</v>
          </cell>
          <cell r="D720">
            <v>59</v>
          </cell>
        </row>
        <row r="721">
          <cell r="A721">
            <v>2059108</v>
          </cell>
          <cell r="B721" t="str">
            <v>Geh. Kohlstädt Frontblende KS,AIDA II 20046020</v>
          </cell>
          <cell r="C721">
            <v>0</v>
          </cell>
          <cell r="D721">
            <v>59</v>
          </cell>
        </row>
        <row r="722">
          <cell r="A722">
            <v>2059110</v>
          </cell>
          <cell r="B722" t="str">
            <v>Gehäuse Frontblende VEIO.vis v2</v>
          </cell>
          <cell r="C722">
            <v>0</v>
          </cell>
          <cell r="D722">
            <v>69</v>
          </cell>
        </row>
        <row r="723">
          <cell r="A723">
            <v>2059201</v>
          </cell>
          <cell r="B723" t="str">
            <v>Geh.Kohlstädt Chassis Bottom Smartscreen w.Foot</v>
          </cell>
          <cell r="C723">
            <v>0</v>
          </cell>
          <cell r="D723">
            <v>41.25</v>
          </cell>
        </row>
        <row r="724">
          <cell r="A724">
            <v>2059202</v>
          </cell>
          <cell r="B724" t="str">
            <v>Geh.Kohlstädt Chassis Top A-H-S</v>
          </cell>
          <cell r="C724">
            <v>0</v>
          </cell>
          <cell r="D724">
            <v>45.91</v>
          </cell>
        </row>
        <row r="725">
          <cell r="A725">
            <v>2059203</v>
          </cell>
          <cell r="B725" t="str">
            <v>Geh.Kohlstädt Cleat Chasis A-H-S</v>
          </cell>
          <cell r="C725">
            <v>0</v>
          </cell>
          <cell r="D725">
            <v>25.19</v>
          </cell>
        </row>
        <row r="726">
          <cell r="A726">
            <v>2059204</v>
          </cell>
          <cell r="B726" t="str">
            <v>Geh.Kohlstädt Bezel Bottom Display W/Inserts A-H-S</v>
          </cell>
          <cell r="C726">
            <v>0</v>
          </cell>
          <cell r="D726">
            <v>116.71</v>
          </cell>
        </row>
        <row r="727">
          <cell r="A727">
            <v>2059205</v>
          </cell>
          <cell r="B727" t="str">
            <v>Geh.Kohlstädt Insert Torque Profile  A-H-S</v>
          </cell>
          <cell r="C727">
            <v>0</v>
          </cell>
          <cell r="D727">
            <v>11.95</v>
          </cell>
        </row>
        <row r="728">
          <cell r="A728">
            <v>2059206</v>
          </cell>
          <cell r="B728" t="str">
            <v>Geh.Kohlstädt Bezel Front Chassis A-H-S</v>
          </cell>
          <cell r="C728">
            <v>0</v>
          </cell>
          <cell r="D728">
            <v>35.69</v>
          </cell>
        </row>
        <row r="729">
          <cell r="A729">
            <v>2059207</v>
          </cell>
          <cell r="B729" t="str">
            <v>Geh.Kohlstädt Insert Guide A-H-S</v>
          </cell>
          <cell r="C729">
            <v>0</v>
          </cell>
          <cell r="D729">
            <v>8.14</v>
          </cell>
        </row>
        <row r="730">
          <cell r="A730">
            <v>2059208</v>
          </cell>
          <cell r="B730" t="str">
            <v>Geh.Kohlstädt Rail Right A-H-S</v>
          </cell>
          <cell r="C730">
            <v>0</v>
          </cell>
          <cell r="D730">
            <v>38.43</v>
          </cell>
        </row>
        <row r="731">
          <cell r="A731">
            <v>2059209</v>
          </cell>
          <cell r="B731" t="str">
            <v>Geh.Kohlstädt Rail Left A-H-S</v>
          </cell>
          <cell r="C731">
            <v>0</v>
          </cell>
          <cell r="D731">
            <v>37.01</v>
          </cell>
        </row>
        <row r="732">
          <cell r="A732">
            <v>2059210</v>
          </cell>
          <cell r="B732" t="str">
            <v>Geh.Kohlstädt Channel Roller Right Crowned A-H-S</v>
          </cell>
          <cell r="C732">
            <v>0</v>
          </cell>
          <cell r="D732">
            <v>11.37</v>
          </cell>
        </row>
        <row r="733">
          <cell r="A733">
            <v>2059211</v>
          </cell>
          <cell r="B733" t="str">
            <v>Geh.Kohlstädt Mount Cabinet Latch A-H-S</v>
          </cell>
          <cell r="C733">
            <v>0</v>
          </cell>
          <cell r="D733">
            <v>13.17</v>
          </cell>
        </row>
        <row r="734">
          <cell r="A734">
            <v>2059212</v>
          </cell>
          <cell r="B734" t="str">
            <v>Geh.Kohlstädt Chassis Bottom LCD Controller A-H-S</v>
          </cell>
          <cell r="C734">
            <v>0</v>
          </cell>
          <cell r="D734">
            <v>15.84</v>
          </cell>
        </row>
        <row r="735">
          <cell r="A735">
            <v>2059213</v>
          </cell>
          <cell r="B735" t="str">
            <v>Geh.Kohlstädt Chassis Top LCD Controller A-H-S</v>
          </cell>
          <cell r="C735">
            <v>0</v>
          </cell>
          <cell r="D735">
            <v>4.22</v>
          </cell>
        </row>
        <row r="736">
          <cell r="A736">
            <v>2059214</v>
          </cell>
          <cell r="B736" t="str">
            <v>Geh.Kohlstädt Bezel Front Chassis LCD Contr.A-H-S</v>
          </cell>
          <cell r="C736">
            <v>0</v>
          </cell>
          <cell r="D736">
            <v>48.4</v>
          </cell>
        </row>
        <row r="737">
          <cell r="A737">
            <v>2059215</v>
          </cell>
          <cell r="B737" t="str">
            <v>Geh.Kohlstädt Channel Roller Left V-Groove MoA-H-S</v>
          </cell>
          <cell r="C737">
            <v>0</v>
          </cell>
          <cell r="D737">
            <v>11.15</v>
          </cell>
        </row>
        <row r="738">
          <cell r="A738">
            <v>2059216</v>
          </cell>
          <cell r="B738" t="str">
            <v>Geh.Kohlstädt Mount Switch A-H-S</v>
          </cell>
          <cell r="C738">
            <v>0</v>
          </cell>
          <cell r="D738">
            <v>2.99</v>
          </cell>
        </row>
        <row r="739">
          <cell r="A739">
            <v>2059217</v>
          </cell>
          <cell r="B739" t="str">
            <v>Geh.Kohlstädt Plate Face Bezel A-H-S</v>
          </cell>
          <cell r="C739">
            <v>0</v>
          </cell>
          <cell r="D739">
            <v>85.88</v>
          </cell>
        </row>
        <row r="740">
          <cell r="A740">
            <v>2059218</v>
          </cell>
          <cell r="B740" t="str">
            <v>Geh.Kohlstädt Bezel Top Display A-H-S</v>
          </cell>
          <cell r="C740">
            <v>0</v>
          </cell>
          <cell r="D740">
            <v>91.19</v>
          </cell>
        </row>
        <row r="741">
          <cell r="A741">
            <v>2059219</v>
          </cell>
          <cell r="B741" t="str">
            <v>Geh.Kohlstädt Bracket Retainer A-H-S</v>
          </cell>
          <cell r="C741">
            <v>0</v>
          </cell>
          <cell r="D741">
            <v>5.74</v>
          </cell>
        </row>
        <row r="742">
          <cell r="A742">
            <v>2059221</v>
          </cell>
          <cell r="B742" t="str">
            <v>Schalterschutz AIDA HD connect Delrin</v>
          </cell>
          <cell r="C742">
            <v>1910</v>
          </cell>
          <cell r="D742">
            <v>0.45</v>
          </cell>
        </row>
        <row r="743">
          <cell r="A743">
            <v>206</v>
          </cell>
          <cell r="B743" t="str">
            <v>Vor Ort  60 Mon. Garantie inkl. 60 M. VOS (D/A/CH)</v>
          </cell>
          <cell r="C743">
            <v>0</v>
          </cell>
          <cell r="D743">
            <v>109</v>
          </cell>
        </row>
        <row r="744">
          <cell r="A744">
            <v>2060103</v>
          </cell>
          <cell r="B744" t="str">
            <v>Intel Storage System SS4000-E (Baxter Creek)</v>
          </cell>
          <cell r="C744">
            <v>0</v>
          </cell>
          <cell r="D744">
            <v>378</v>
          </cell>
        </row>
        <row r="745">
          <cell r="A745">
            <v>2070060</v>
          </cell>
          <cell r="B745" t="str">
            <v>Teleskopschiene für Intel SR14xx/SR2400</v>
          </cell>
          <cell r="C745">
            <v>0</v>
          </cell>
          <cell r="D745">
            <v>35</v>
          </cell>
        </row>
        <row r="746">
          <cell r="A746">
            <v>2070061</v>
          </cell>
          <cell r="B746" t="str">
            <v>Kabelmanagement Arm für cr-Serie</v>
          </cell>
          <cell r="C746">
            <v>0</v>
          </cell>
          <cell r="D746">
            <v>35</v>
          </cell>
        </row>
        <row r="747">
          <cell r="A747">
            <v>2070062</v>
          </cell>
          <cell r="B747" t="str">
            <v>Kabelmanagement Arm für dr-Serie SC5300/SC5400</v>
          </cell>
          <cell r="C747">
            <v>0</v>
          </cell>
          <cell r="D747">
            <v>70</v>
          </cell>
        </row>
        <row r="748">
          <cell r="A748">
            <v>2070074</v>
          </cell>
          <cell r="B748" t="str">
            <v>Teleskopsch. für Intel SR15xx/SR16xx/SR25xx/SR26xx</v>
          </cell>
          <cell r="C748">
            <v>0</v>
          </cell>
          <cell r="D748">
            <v>60</v>
          </cell>
        </row>
        <row r="749">
          <cell r="A749">
            <v>2070127</v>
          </cell>
          <cell r="B749" t="str">
            <v>19" Geh. Chenbro RM411/4HE/BLACK (Ohne Netzteil)</v>
          </cell>
          <cell r="C749">
            <v>0</v>
          </cell>
          <cell r="D749">
            <v>109</v>
          </cell>
        </row>
        <row r="750">
          <cell r="A750">
            <v>2070157</v>
          </cell>
          <cell r="B750" t="str">
            <v>Chenbro SR107 Teleskopschienen 19"Schrank/90cm</v>
          </cell>
          <cell r="C750">
            <v>0</v>
          </cell>
          <cell r="D750">
            <v>30</v>
          </cell>
        </row>
        <row r="751">
          <cell r="A751">
            <v>2070205</v>
          </cell>
          <cell r="B751" t="str">
            <v>Chenbro SR107 HD Backplane 4HD/U320</v>
          </cell>
          <cell r="C751">
            <v>0</v>
          </cell>
          <cell r="D751">
            <v>65</v>
          </cell>
        </row>
        <row r="752">
          <cell r="A752">
            <v>2070207</v>
          </cell>
          <cell r="B752" t="str">
            <v>Chenbro SR107 HD Backplane 4HD/Universal</v>
          </cell>
          <cell r="C752">
            <v>0</v>
          </cell>
          <cell r="D752">
            <v>12</v>
          </cell>
        </row>
        <row r="753">
          <cell r="A753">
            <v>2070220</v>
          </cell>
          <cell r="B753" t="str">
            <v>Chenbro RM21x PCI Backplane LowProfile RM214/RM215</v>
          </cell>
          <cell r="C753">
            <v>0</v>
          </cell>
          <cell r="D753">
            <v>25</v>
          </cell>
        </row>
        <row r="754">
          <cell r="A754">
            <v>2070243</v>
          </cell>
          <cell r="B754" t="str">
            <v>Chenbro RMxxx Teleskopschienen 19" Schrank/80-90</v>
          </cell>
          <cell r="C754">
            <v>0</v>
          </cell>
          <cell r="D754">
            <v>38</v>
          </cell>
        </row>
        <row r="755">
          <cell r="A755">
            <v>2070245</v>
          </cell>
          <cell r="B755" t="str">
            <v>Chenbro SR107 HD Backplane 0HD/Blindblende</v>
          </cell>
          <cell r="C755">
            <v>0</v>
          </cell>
          <cell r="D755">
            <v>10</v>
          </cell>
        </row>
        <row r="756">
          <cell r="A756">
            <v>2070255</v>
          </cell>
          <cell r="B756" t="str">
            <v>Chenbro SR107 Griffe 19" Umrüstung</v>
          </cell>
          <cell r="C756">
            <v>0</v>
          </cell>
          <cell r="D756">
            <v>25</v>
          </cell>
        </row>
        <row r="757">
          <cell r="A757">
            <v>2070261</v>
          </cell>
          <cell r="B757" t="str">
            <v>Chenbro SR107 HD Backplane 4HD/SATA-II</v>
          </cell>
          <cell r="C757">
            <v>0</v>
          </cell>
          <cell r="D757">
            <v>50</v>
          </cell>
        </row>
        <row r="758">
          <cell r="A758">
            <v>2070268</v>
          </cell>
          <cell r="B758" t="str">
            <v>Chenbro SR209/SR105 HD Backplane 4HD/SATA-II</v>
          </cell>
          <cell r="C758">
            <v>0</v>
          </cell>
          <cell r="D758">
            <v>56</v>
          </cell>
        </row>
        <row r="759">
          <cell r="A759">
            <v>2070270</v>
          </cell>
          <cell r="B759" t="str">
            <v>Chenbro Netzt.-Einbaurahmen RM314/313 RED YH-7761</v>
          </cell>
          <cell r="C759">
            <v>0</v>
          </cell>
          <cell r="D759">
            <v>14</v>
          </cell>
        </row>
        <row r="760">
          <cell r="A760">
            <v>2071019</v>
          </cell>
          <cell r="B760" t="str">
            <v>Geh. Chenbro 19" RM42200B / 4HE / SRM Tylersburg</v>
          </cell>
          <cell r="C760">
            <v>0</v>
          </cell>
          <cell r="D760">
            <v>109</v>
          </cell>
        </row>
        <row r="761">
          <cell r="A761">
            <v>2071135</v>
          </cell>
          <cell r="B761" t="str">
            <v>Chenbro RM21706B HD Backplane 6HD/SATA2/SAS</v>
          </cell>
          <cell r="C761">
            <v>0</v>
          </cell>
          <cell r="D761">
            <v>65</v>
          </cell>
        </row>
        <row r="762">
          <cell r="A762">
            <v>2071148</v>
          </cell>
          <cell r="B762" t="str">
            <v>Chenbro SR107 Mini SAS Backpl.</v>
          </cell>
          <cell r="C762">
            <v>0</v>
          </cell>
          <cell r="D762">
            <v>50</v>
          </cell>
        </row>
        <row r="763">
          <cell r="A763">
            <v>2071171</v>
          </cell>
          <cell r="B763" t="str">
            <v>Chenbro Backplane 4HD MiniSAS 6G SR107/RM314</v>
          </cell>
          <cell r="C763">
            <v>0</v>
          </cell>
          <cell r="D763">
            <v>33</v>
          </cell>
        </row>
        <row r="764">
          <cell r="A764">
            <v>2090026</v>
          </cell>
          <cell r="B764" t="str">
            <v>Netzteil (ATX 20-pin) Fortron 300W MPG/TÜV/GS/PFC</v>
          </cell>
          <cell r="C764">
            <v>0</v>
          </cell>
          <cell r="D764">
            <v>69</v>
          </cell>
        </row>
        <row r="765">
          <cell r="A765">
            <v>2090053</v>
          </cell>
          <cell r="B765" t="str">
            <v>Netzteil 460W für SR</v>
          </cell>
          <cell r="C765">
            <v>0</v>
          </cell>
          <cell r="D765">
            <v>60</v>
          </cell>
        </row>
        <row r="766">
          <cell r="A766">
            <v>2090064</v>
          </cell>
          <cell r="B766" t="str">
            <v>Potential Ausgleichsbolzen 15mm (Set)</v>
          </cell>
          <cell r="C766">
            <v>2930</v>
          </cell>
          <cell r="D766">
            <v>0.61</v>
          </cell>
        </row>
        <row r="767">
          <cell r="A767">
            <v>2090084</v>
          </cell>
          <cell r="B767" t="str">
            <v>YY Netzteil ATX Stromadapter 20-pin --&gt; 24-pin***</v>
          </cell>
          <cell r="C767">
            <v>0</v>
          </cell>
          <cell r="D767">
            <v>2</v>
          </cell>
        </row>
        <row r="768">
          <cell r="A768">
            <v>2090087</v>
          </cell>
          <cell r="B768" t="str">
            <v>Netzteil ATX Grzelka 250W 20-p GP-250MTXSII MPG</v>
          </cell>
          <cell r="C768">
            <v>0</v>
          </cell>
          <cell r="D768">
            <v>0</v>
          </cell>
        </row>
        <row r="769">
          <cell r="A769">
            <v>2090088</v>
          </cell>
          <cell r="B769" t="str">
            <v>Netzteil ATX Grzelka 250W 24-p GP-250MTXSII MPG</v>
          </cell>
          <cell r="C769">
            <v>0</v>
          </cell>
          <cell r="D769">
            <v>89</v>
          </cell>
        </row>
        <row r="770">
          <cell r="A770">
            <v>2090092</v>
          </cell>
          <cell r="B770" t="str">
            <v>Netzteil (1UTX 20-pin) Fortron Industrie 300W</v>
          </cell>
          <cell r="C770">
            <v>0</v>
          </cell>
          <cell r="D770">
            <v>49</v>
          </cell>
        </row>
        <row r="771">
          <cell r="A771">
            <v>2090093</v>
          </cell>
          <cell r="B771" t="str">
            <v>Netzteil REDUNDANT ATX EMACS MRW-6420P 2x420W PFC</v>
          </cell>
          <cell r="C771">
            <v>0</v>
          </cell>
          <cell r="D771">
            <v>299</v>
          </cell>
        </row>
        <row r="772">
          <cell r="A772">
            <v>2090095</v>
          </cell>
          <cell r="B772" t="str">
            <v>Netzteil RED. f.Intel SSR212MA/SR2300/500 Watt</v>
          </cell>
          <cell r="C772">
            <v>0</v>
          </cell>
          <cell r="D772">
            <v>155</v>
          </cell>
        </row>
        <row r="773">
          <cell r="A773">
            <v>2090099</v>
          </cell>
          <cell r="B773" t="str">
            <v>Netzteil ATX Stromadapter 24-pin --&gt; 20-pin</v>
          </cell>
          <cell r="C773">
            <v>0</v>
          </cell>
          <cell r="D773">
            <v>2</v>
          </cell>
        </row>
        <row r="774">
          <cell r="A774">
            <v>2090102</v>
          </cell>
          <cell r="B774" t="str">
            <v>Netzteil REDUNDANT ATX EMACS RHD-6460P 460W/24Pin</v>
          </cell>
          <cell r="C774">
            <v>0</v>
          </cell>
          <cell r="D774">
            <v>400</v>
          </cell>
        </row>
        <row r="775">
          <cell r="A775">
            <v>2090103</v>
          </cell>
          <cell r="B775" t="str">
            <v>LCD-Universal-Netzteil (ext.) 12V / 5A / 60W</v>
          </cell>
          <cell r="C775">
            <v>0</v>
          </cell>
          <cell r="D775">
            <v>19</v>
          </cell>
        </row>
        <row r="776">
          <cell r="A776">
            <v>2090109</v>
          </cell>
          <cell r="B776" t="str">
            <v>Netzteil (ATX 20-/24pin) Fortron 300W/12V/120mm</v>
          </cell>
          <cell r="C776">
            <v>0</v>
          </cell>
          <cell r="D776">
            <v>19.899999999999999</v>
          </cell>
        </row>
        <row r="777">
          <cell r="A777">
            <v>2090117</v>
          </cell>
          <cell r="B777" t="str">
            <v>Netzteil (ATX 20-/24pin) Fortron 350W/12V/Rev2.0**</v>
          </cell>
          <cell r="C777">
            <v>0</v>
          </cell>
          <cell r="D777">
            <v>29.9</v>
          </cell>
        </row>
        <row r="778">
          <cell r="A778">
            <v>2090118</v>
          </cell>
          <cell r="B778" t="str">
            <v>Netzteil (ATX 20-/24pin) Fortron 400W/120mm/Rev2.0</v>
          </cell>
          <cell r="C778">
            <v>0</v>
          </cell>
          <cell r="D778">
            <v>45</v>
          </cell>
        </row>
        <row r="779">
          <cell r="A779">
            <v>2090120</v>
          </cell>
          <cell r="B779" t="str">
            <v>Netzteil (ATX 24-pin) Fortron 550W/PFC/Auto</v>
          </cell>
          <cell r="C779">
            <v>0</v>
          </cell>
          <cell r="D779">
            <v>89</v>
          </cell>
        </row>
        <row r="780">
          <cell r="A780">
            <v>2090124</v>
          </cell>
          <cell r="B780" t="str">
            <v>Netzteil (ATX 24pin) Fortron 400W/120mm</v>
          </cell>
          <cell r="C780">
            <v>0</v>
          </cell>
          <cell r="D780">
            <v>29.9</v>
          </cell>
        </row>
        <row r="781">
          <cell r="A781">
            <v>2090125</v>
          </cell>
          <cell r="B781" t="str">
            <v>Netzteil (ATX 20-/24pin) Fortron 350W/120mm</v>
          </cell>
          <cell r="C781">
            <v>0</v>
          </cell>
          <cell r="D781">
            <v>19.899999999999999</v>
          </cell>
        </row>
        <row r="782">
          <cell r="A782">
            <v>2090127</v>
          </cell>
          <cell r="B782" t="str">
            <v>Netzteil (ATX  24pin) Fortron 350W/120mm/Auto/80+</v>
          </cell>
          <cell r="C782">
            <v>0</v>
          </cell>
          <cell r="D782">
            <v>21</v>
          </cell>
        </row>
        <row r="783">
          <cell r="A783">
            <v>2090129</v>
          </cell>
          <cell r="B783" t="str">
            <v>Netzteil (ATX  24pin) Fortron 400W/120mm/Auto/80+</v>
          </cell>
          <cell r="C783">
            <v>0</v>
          </cell>
          <cell r="D783">
            <v>34</v>
          </cell>
        </row>
        <row r="784">
          <cell r="A784">
            <v>2090136</v>
          </cell>
          <cell r="B784" t="str">
            <v>Netzteil (2UATX 24-pin) Redundant Etasis 550W</v>
          </cell>
          <cell r="C784">
            <v>0</v>
          </cell>
          <cell r="D784">
            <v>400</v>
          </cell>
        </row>
        <row r="785">
          <cell r="A785">
            <v>2090142</v>
          </cell>
          <cell r="B785" t="str">
            <v>Netzteil (2UATX 24-pin) Fortron 650W FSP650-802U</v>
          </cell>
          <cell r="C785">
            <v>0</v>
          </cell>
          <cell r="D785">
            <v>129</v>
          </cell>
        </row>
        <row r="786">
          <cell r="A786">
            <v>2090145</v>
          </cell>
          <cell r="B786" t="str">
            <v>Netzteil 180W FlexATX FSP180-50MP</v>
          </cell>
          <cell r="C786">
            <v>1</v>
          </cell>
          <cell r="D786">
            <v>57</v>
          </cell>
        </row>
        <row r="787">
          <cell r="A787">
            <v>2090154</v>
          </cell>
          <cell r="B787" t="str">
            <v>Netzteil 400 Watt FSP400-70MP</v>
          </cell>
          <cell r="C787">
            <v>2</v>
          </cell>
          <cell r="D787">
            <v>85</v>
          </cell>
        </row>
        <row r="788">
          <cell r="A788">
            <v>2090156</v>
          </cell>
          <cell r="B788" t="str">
            <v>Netzteil 460 W für SR</v>
          </cell>
          <cell r="C788">
            <v>0</v>
          </cell>
          <cell r="D788">
            <v>55</v>
          </cell>
        </row>
        <row r="789">
          <cell r="A789">
            <v>2090157</v>
          </cell>
          <cell r="B789" t="str">
            <v>Netzteil (ATX 20-/24pin) Fortron 550W/120mm/Rev2.0</v>
          </cell>
          <cell r="C789">
            <v>0</v>
          </cell>
          <cell r="D789">
            <v>69</v>
          </cell>
        </row>
        <row r="790">
          <cell r="A790">
            <v>2090159</v>
          </cell>
          <cell r="B790" t="str">
            <v>Netzteil (ATX 20-/24pin) Fortron 650W/120mm/Rev2.0</v>
          </cell>
          <cell r="C790">
            <v>0</v>
          </cell>
          <cell r="D790">
            <v>79</v>
          </cell>
        </row>
        <row r="791">
          <cell r="A791">
            <v>2090166</v>
          </cell>
          <cell r="B791" t="str">
            <v>Netzteil REDUNDANT 3UATX EMACS R3G-6650P 650W/24P</v>
          </cell>
          <cell r="C791">
            <v>0</v>
          </cell>
          <cell r="D791">
            <v>279</v>
          </cell>
        </row>
        <row r="792">
          <cell r="A792">
            <v>2090177</v>
          </cell>
          <cell r="B792" t="str">
            <v>Netzteil (ATX  24pin) Fortron 500W/120mm/Auto/80+</v>
          </cell>
          <cell r="C792">
            <v>0</v>
          </cell>
          <cell r="D792">
            <v>40</v>
          </cell>
        </row>
        <row r="793">
          <cell r="A793">
            <v>2090179</v>
          </cell>
          <cell r="B793" t="str">
            <v>Netzteil REDUNDANT "Fortron" YH7761-2AKR 760Watt</v>
          </cell>
          <cell r="C793">
            <v>0</v>
          </cell>
          <cell r="D793">
            <v>269</v>
          </cell>
        </row>
        <row r="794">
          <cell r="A794">
            <v>2090185</v>
          </cell>
          <cell r="B794" t="str">
            <v>Netzteil (ATX  24pin) Fortron 400W MPG - ohne E/A-</v>
          </cell>
          <cell r="C794">
            <v>0</v>
          </cell>
          <cell r="D794">
            <v>70</v>
          </cell>
        </row>
        <row r="795">
          <cell r="A795">
            <v>2090186</v>
          </cell>
          <cell r="B795" t="str">
            <v>Netzteil (ATX  24pin) Fortron 350W/120mm</v>
          </cell>
          <cell r="C795">
            <v>0</v>
          </cell>
          <cell r="D795">
            <v>19</v>
          </cell>
        </row>
        <row r="796">
          <cell r="A796">
            <v>2090190</v>
          </cell>
          <cell r="B796" t="str">
            <v>Netzteil MPG Power Supply 350 Watt Storz Connect</v>
          </cell>
          <cell r="C796">
            <v>0</v>
          </cell>
          <cell r="D796">
            <v>120</v>
          </cell>
        </row>
        <row r="797">
          <cell r="A797">
            <v>2090203</v>
          </cell>
          <cell r="B797" t="str">
            <v>Netzteil (ATX  24pin) Seasonic 650W/80 Plus Bronze</v>
          </cell>
          <cell r="C797">
            <v>0</v>
          </cell>
          <cell r="D797">
            <v>50</v>
          </cell>
        </row>
        <row r="798">
          <cell r="A798">
            <v>2090210</v>
          </cell>
          <cell r="B798" t="str">
            <v>Netzteil 350W MV1E-5350V</v>
          </cell>
          <cell r="C798">
            <v>0</v>
          </cell>
          <cell r="D798">
            <v>116.42</v>
          </cell>
        </row>
        <row r="799">
          <cell r="A799">
            <v>2090211</v>
          </cell>
          <cell r="B799" t="str">
            <v>Netzteil TFX Seasonic 300W 80+ Bronze für PC711</v>
          </cell>
          <cell r="C799">
            <v>0</v>
          </cell>
          <cell r="D799">
            <v>39</v>
          </cell>
        </row>
        <row r="800">
          <cell r="A800">
            <v>2090223</v>
          </cell>
          <cell r="B800" t="str">
            <v>Netzteil (ATX 24pin) FSP 400W</v>
          </cell>
          <cell r="C800">
            <v>56</v>
          </cell>
          <cell r="D800">
            <v>85</v>
          </cell>
        </row>
        <row r="801">
          <cell r="A801">
            <v>2090228</v>
          </cell>
          <cell r="B801" t="str">
            <v>Netzteil 350W MV1E-5350V</v>
          </cell>
          <cell r="C801">
            <v>564</v>
          </cell>
          <cell r="D801">
            <v>113.08</v>
          </cell>
        </row>
        <row r="802">
          <cell r="A802">
            <v>2090232</v>
          </cell>
          <cell r="B802" t="str">
            <v>Netzteil MPG Tischnetzteil 20W f.LCD/TFT/2.5V</v>
          </cell>
          <cell r="C802">
            <v>1</v>
          </cell>
          <cell r="D802">
            <v>15</v>
          </cell>
        </row>
        <row r="803">
          <cell r="A803">
            <v>2090234</v>
          </cell>
          <cell r="B803" t="str">
            <v>Netzteil 180W FlexATX FSP180-50MP</v>
          </cell>
          <cell r="C803">
            <v>87</v>
          </cell>
          <cell r="D803">
            <v>57</v>
          </cell>
        </row>
        <row r="804">
          <cell r="A804">
            <v>2090300</v>
          </cell>
          <cell r="B804" t="str">
            <v>Netzteil (ATX  24pin) FSP 350W HHN Bronze</v>
          </cell>
          <cell r="C804">
            <v>0</v>
          </cell>
          <cell r="D804">
            <v>15</v>
          </cell>
        </row>
        <row r="805">
          <cell r="A805">
            <v>2090302</v>
          </cell>
          <cell r="B805" t="str">
            <v>Netzteil (ATX  24pin) FSP 350W EPN VDE/Bronze</v>
          </cell>
          <cell r="C805">
            <v>0</v>
          </cell>
          <cell r="D805">
            <v>25</v>
          </cell>
        </row>
        <row r="806">
          <cell r="A806">
            <v>2090303</v>
          </cell>
          <cell r="B806" t="str">
            <v>Netzteil (ATX  24pin) FSP 400W EPN Bronze</v>
          </cell>
          <cell r="C806">
            <v>0</v>
          </cell>
          <cell r="D806">
            <v>25</v>
          </cell>
        </row>
        <row r="807">
          <cell r="A807">
            <v>2090304</v>
          </cell>
          <cell r="B807" t="str">
            <v>Netzteil 400W FSP-62PFG</v>
          </cell>
          <cell r="C807">
            <v>0</v>
          </cell>
          <cell r="D807">
            <v>45.5</v>
          </cell>
        </row>
        <row r="808">
          <cell r="A808">
            <v>2090306</v>
          </cell>
          <cell r="B808" t="str">
            <v>Netzteil (ATX  24pin) FSP 550W GHN 80+ Bronze</v>
          </cell>
          <cell r="C808">
            <v>0</v>
          </cell>
          <cell r="D808">
            <v>69</v>
          </cell>
        </row>
        <row r="809">
          <cell r="A809">
            <v>2090313</v>
          </cell>
          <cell r="B809" t="str">
            <v>Netzteil 650W-80TBN ATX 24/7</v>
          </cell>
          <cell r="C809">
            <v>0</v>
          </cell>
          <cell r="D809">
            <v>69</v>
          </cell>
        </row>
        <row r="810">
          <cell r="A810">
            <v>2090331</v>
          </cell>
          <cell r="B810" t="str">
            <v>Netzteil (ATX  24pin) FSP 350W EPN VDE/Bronze</v>
          </cell>
          <cell r="C810">
            <v>0</v>
          </cell>
          <cell r="D810">
            <v>26.9</v>
          </cell>
        </row>
        <row r="811">
          <cell r="A811">
            <v>2091067</v>
          </cell>
          <cell r="B811" t="str">
            <v>Netzteil (2UATX 24-pin) Zippy P2G-6510p 510W</v>
          </cell>
          <cell r="C811">
            <v>0</v>
          </cell>
          <cell r="D811">
            <v>95</v>
          </cell>
        </row>
        <row r="812">
          <cell r="A812">
            <v>2095031</v>
          </cell>
          <cell r="B812" t="str">
            <v>Gehäuse HDD SATA 3.5" Alu USB 2.0/eSATA</v>
          </cell>
          <cell r="C812">
            <v>0</v>
          </cell>
          <cell r="D812">
            <v>16.25</v>
          </cell>
        </row>
        <row r="813">
          <cell r="A813">
            <v>2100011</v>
          </cell>
          <cell r="B813" t="str">
            <v>Lüfter CPU S603/S604/FSB533, XEON aktiv</v>
          </cell>
          <cell r="C813">
            <v>0</v>
          </cell>
          <cell r="D813">
            <v>9</v>
          </cell>
        </row>
        <row r="814">
          <cell r="A814">
            <v>2100078</v>
          </cell>
          <cell r="B814" t="str">
            <v>YY Lüfter CPU S604/FSB800, XEON passiv***</v>
          </cell>
          <cell r="C814">
            <v>0</v>
          </cell>
          <cell r="D814">
            <v>20</v>
          </cell>
        </row>
        <row r="815">
          <cell r="A815">
            <v>2100144</v>
          </cell>
          <cell r="B815" t="str">
            <v>INTEL DG43GT S775 G43/VGA-DVI-HDMI/GBL/1394/µATX</v>
          </cell>
          <cell r="C815">
            <v>0</v>
          </cell>
          <cell r="D815">
            <v>65</v>
          </cell>
        </row>
        <row r="816">
          <cell r="A816">
            <v>2100147</v>
          </cell>
          <cell r="B816" t="str">
            <v>INTEL DP55WG S1156 P55/SATA/RAID/GBL/1394+++</v>
          </cell>
          <cell r="C816">
            <v>0</v>
          </cell>
          <cell r="D816">
            <v>129</v>
          </cell>
        </row>
        <row r="817">
          <cell r="A817">
            <v>2100148</v>
          </cell>
          <cell r="B817" t="str">
            <v>Mainboard Intel DH55TC S1156</v>
          </cell>
          <cell r="C817">
            <v>2</v>
          </cell>
          <cell r="D817">
            <v>59</v>
          </cell>
        </row>
        <row r="818">
          <cell r="A818">
            <v>2100149</v>
          </cell>
          <cell r="B818" t="str">
            <v>INTEL DQ57TM S1156 Q57/vPro/TPM/RAID/DVI-DVI/bulk</v>
          </cell>
          <cell r="C818">
            <v>0</v>
          </cell>
          <cell r="D818">
            <v>75</v>
          </cell>
        </row>
        <row r="819">
          <cell r="A819">
            <v>2100152</v>
          </cell>
          <cell r="B819" t="str">
            <v>Kabel Kontron COM2-Kabel 40cm (rot)</v>
          </cell>
          <cell r="C819">
            <v>704</v>
          </cell>
          <cell r="D819">
            <v>3.91</v>
          </cell>
        </row>
        <row r="820">
          <cell r="A820">
            <v>2100153</v>
          </cell>
          <cell r="B820" t="str">
            <v>Kabel RS232 intern PL35Q</v>
          </cell>
          <cell r="C820">
            <v>884</v>
          </cell>
          <cell r="D820">
            <v>3.91</v>
          </cell>
        </row>
        <row r="821">
          <cell r="A821">
            <v>2100154</v>
          </cell>
          <cell r="B821" t="str">
            <v>Kabel RS232 60cm intern</v>
          </cell>
          <cell r="C821">
            <v>111</v>
          </cell>
          <cell r="D821">
            <v>5.1100000000000003</v>
          </cell>
        </row>
        <row r="822">
          <cell r="A822">
            <v>2100157</v>
          </cell>
          <cell r="B822" t="str">
            <v>INTEL DH55PJ S1156 H55/VGA-DVI/GBL/µATX</v>
          </cell>
          <cell r="C822">
            <v>0</v>
          </cell>
          <cell r="D822">
            <v>75</v>
          </cell>
        </row>
        <row r="823">
          <cell r="A823">
            <v>2100168</v>
          </cell>
          <cell r="B823" t="str">
            <v>Lüfter Prozessor S2011, XEON Combo &lt;=150 Watt</v>
          </cell>
          <cell r="C823">
            <v>0</v>
          </cell>
          <cell r="D823">
            <v>27</v>
          </cell>
        </row>
        <row r="824">
          <cell r="A824">
            <v>2103004</v>
          </cell>
          <cell r="B824" t="str">
            <v>Kontron MB 886LCD-M/Flex S479 i855/VGA/3xGBL***</v>
          </cell>
          <cell r="C824">
            <v>0</v>
          </cell>
          <cell r="D824">
            <v>191</v>
          </cell>
        </row>
        <row r="825">
          <cell r="A825">
            <v>2103005</v>
          </cell>
          <cell r="B825" t="str">
            <v>Kontron COM2-Kabel 20cm</v>
          </cell>
          <cell r="C825">
            <v>0</v>
          </cell>
          <cell r="D825">
            <v>2</v>
          </cell>
        </row>
        <row r="826">
          <cell r="A826">
            <v>2103006</v>
          </cell>
          <cell r="B826" t="str">
            <v>Kabel Kontron USB-Kabel Einbau</v>
          </cell>
          <cell r="C826">
            <v>1652</v>
          </cell>
          <cell r="D826">
            <v>1.72</v>
          </cell>
        </row>
        <row r="827">
          <cell r="A827">
            <v>2103040</v>
          </cell>
          <cell r="B827" t="str">
            <v>Mainboard Kontron 886LCD-M/Flex</v>
          </cell>
          <cell r="C827">
            <v>1</v>
          </cell>
          <cell r="D827">
            <v>207.57</v>
          </cell>
        </row>
        <row r="828">
          <cell r="A828">
            <v>2103042</v>
          </cell>
          <cell r="B828" t="str">
            <v>Kontron DVI-I ADD Card/CRT-RoHs</v>
          </cell>
          <cell r="C828">
            <v>0</v>
          </cell>
          <cell r="D828">
            <v>29</v>
          </cell>
        </row>
        <row r="829">
          <cell r="A829">
            <v>2103043</v>
          </cell>
          <cell r="B829" t="str">
            <v>Mainboard Kontron 986LCD-M/Flex Rev. 13</v>
          </cell>
          <cell r="C829">
            <v>12</v>
          </cell>
          <cell r="D829">
            <v>160.72</v>
          </cell>
        </row>
        <row r="830">
          <cell r="A830">
            <v>2103044</v>
          </cell>
          <cell r="B830" t="str">
            <v>Kontron DVI PCIe x16 ADD-ON Card ADD2-DVI (RoHS)</v>
          </cell>
          <cell r="C830">
            <v>0</v>
          </cell>
          <cell r="D830">
            <v>14</v>
          </cell>
        </row>
        <row r="831">
          <cell r="A831">
            <v>2103045</v>
          </cell>
          <cell r="B831" t="str">
            <v>Kontron MB KT965/ATXE S775 Q965/VGA/RAID/2xGBL +++</v>
          </cell>
          <cell r="C831">
            <v>0</v>
          </cell>
          <cell r="D831">
            <v>220</v>
          </cell>
        </row>
        <row r="832">
          <cell r="A832">
            <v>2103047</v>
          </cell>
          <cell r="B832" t="str">
            <v>Mainboard Kontron KT965/Flex</v>
          </cell>
          <cell r="C832">
            <v>3</v>
          </cell>
          <cell r="D832">
            <v>174</v>
          </cell>
        </row>
        <row r="833">
          <cell r="A833">
            <v>2103048</v>
          </cell>
          <cell r="B833" t="str">
            <v>Karte DVI PCIe für Dual-Display-Betrieb AC1</v>
          </cell>
          <cell r="C833">
            <v>19</v>
          </cell>
          <cell r="D833">
            <v>33.659999999999997</v>
          </cell>
        </row>
        <row r="834">
          <cell r="A834">
            <v>2103051</v>
          </cell>
          <cell r="B834" t="str">
            <v>Systemboard Kontron 986LCD-M/mITX w/o CF</v>
          </cell>
          <cell r="C834">
            <v>4</v>
          </cell>
          <cell r="D834">
            <v>195</v>
          </cell>
        </row>
        <row r="835">
          <cell r="A835">
            <v>2103052</v>
          </cell>
          <cell r="B835" t="str">
            <v>Riser Karte AC1 PCI Kontron 2slot flex</v>
          </cell>
          <cell r="C835">
            <v>2</v>
          </cell>
          <cell r="D835">
            <v>25</v>
          </cell>
        </row>
        <row r="836">
          <cell r="A836">
            <v>2105802</v>
          </cell>
          <cell r="B836" t="str">
            <v>AOpen i915GMm-HFS S479M VGA/SATA/RD/GBL/1394/µ</v>
          </cell>
          <cell r="C836">
            <v>0</v>
          </cell>
          <cell r="D836">
            <v>15</v>
          </cell>
        </row>
        <row r="837">
          <cell r="A837">
            <v>2105805</v>
          </cell>
          <cell r="B837" t="str">
            <v>Parallel Port für MPD-1000/SD-1000</v>
          </cell>
          <cell r="C837">
            <v>0</v>
          </cell>
          <cell r="D837">
            <v>3.5</v>
          </cell>
        </row>
        <row r="838">
          <cell r="A838">
            <v>2109101</v>
          </cell>
          <cell r="B838" t="str">
            <v>T ASUS parallele Schnittstelle</v>
          </cell>
          <cell r="C838">
            <v>0</v>
          </cell>
          <cell r="D838">
            <v>8.5</v>
          </cell>
        </row>
        <row r="839">
          <cell r="A839">
            <v>2110219</v>
          </cell>
          <cell r="B839" t="str">
            <v>ASUS P4P800F S478</v>
          </cell>
          <cell r="C839">
            <v>0</v>
          </cell>
          <cell r="D839">
            <v>30</v>
          </cell>
        </row>
        <row r="840">
          <cell r="A840">
            <v>2110223</v>
          </cell>
          <cell r="B840" t="str">
            <v>ASUS P4S800-MX S478 VGA/LAN/SB/U2/µATX/bulk</v>
          </cell>
          <cell r="C840">
            <v>0</v>
          </cell>
          <cell r="D840">
            <v>40</v>
          </cell>
        </row>
        <row r="841">
          <cell r="A841">
            <v>2110231</v>
          </cell>
          <cell r="B841" t="str">
            <v>ASUS P4P800-VM/S478/SATA/8x/SB/GBL/U2/VGA</v>
          </cell>
          <cell r="C841">
            <v>0</v>
          </cell>
          <cell r="D841">
            <v>40</v>
          </cell>
        </row>
        <row r="842">
          <cell r="A842">
            <v>2110259</v>
          </cell>
          <cell r="B842" t="str">
            <v>ASUS P4P800SE S478 SATA/RAID/GB</v>
          </cell>
          <cell r="C842">
            <v>0</v>
          </cell>
          <cell r="D842">
            <v>62</v>
          </cell>
        </row>
        <row r="843">
          <cell r="A843">
            <v>2110270</v>
          </cell>
          <cell r="B843" t="str">
            <v>ASUS P4SP-MX S478 VGA/LAN/U2/SB</v>
          </cell>
          <cell r="C843">
            <v>0</v>
          </cell>
          <cell r="D843">
            <v>20</v>
          </cell>
        </row>
        <row r="844">
          <cell r="A844">
            <v>2110275</v>
          </cell>
          <cell r="B844" t="str">
            <v>ASUS P5GD1-VM S775 VGA/SATA/GB</v>
          </cell>
          <cell r="C844">
            <v>0</v>
          </cell>
          <cell r="D844">
            <v>35</v>
          </cell>
        </row>
        <row r="845">
          <cell r="A845">
            <v>2110473</v>
          </cell>
          <cell r="B845" t="str">
            <v>ASUS P5K-VM S775 VGA/SATA/GBL/1394/µATX</v>
          </cell>
          <cell r="C845">
            <v>1</v>
          </cell>
          <cell r="D845">
            <v>68</v>
          </cell>
        </row>
        <row r="846">
          <cell r="A846">
            <v>2110521</v>
          </cell>
          <cell r="B846" t="str">
            <v>ASUS P5KPL-AM S775 VGA/SATA/LAN/µATX***</v>
          </cell>
          <cell r="C846">
            <v>0</v>
          </cell>
          <cell r="D846">
            <v>32.299999999999997</v>
          </cell>
        </row>
        <row r="847">
          <cell r="A847">
            <v>2110598</v>
          </cell>
          <cell r="B847" t="str">
            <v>ASUS P5KPL-AM SE S775 G31 VGA/SATA/LAN/µATX</v>
          </cell>
          <cell r="C847">
            <v>0</v>
          </cell>
          <cell r="D847">
            <v>31.2</v>
          </cell>
        </row>
        <row r="848">
          <cell r="A848">
            <v>2110701</v>
          </cell>
          <cell r="B848" t="str">
            <v>ASUS P5LD2 S775 SATA/RAID/GBL</v>
          </cell>
          <cell r="C848">
            <v>0</v>
          </cell>
          <cell r="D848">
            <v>80</v>
          </cell>
        </row>
        <row r="849">
          <cell r="A849">
            <v>2110718</v>
          </cell>
          <cell r="B849" t="str">
            <v>T ASUS P5S800-VM S775 VGA/SATA/RAID/LAN/µATX/RoHS</v>
          </cell>
          <cell r="C849">
            <v>0</v>
          </cell>
          <cell r="D849">
            <v>38</v>
          </cell>
        </row>
        <row r="850">
          <cell r="A850">
            <v>2110727</v>
          </cell>
          <cell r="B850" t="str">
            <v>T ASUS P5B-VM S775 VGA/SATA/GBL/1394/µATX</v>
          </cell>
          <cell r="C850">
            <v>0</v>
          </cell>
          <cell r="D850">
            <v>85</v>
          </cell>
        </row>
        <row r="851">
          <cell r="A851">
            <v>2110733</v>
          </cell>
          <cell r="B851" t="str">
            <v>ASUS SERVER P5M2/SAS</v>
          </cell>
          <cell r="C851">
            <v>0</v>
          </cell>
          <cell r="D851">
            <v>155</v>
          </cell>
        </row>
        <row r="852">
          <cell r="A852">
            <v>2110746</v>
          </cell>
          <cell r="B852" t="str">
            <v>T ASUS P5K-VM S775 VGA/SATA/GBL/1394/µATX</v>
          </cell>
          <cell r="C852">
            <v>3</v>
          </cell>
          <cell r="D852">
            <v>69</v>
          </cell>
        </row>
        <row r="853">
          <cell r="A853">
            <v>2110749</v>
          </cell>
          <cell r="B853" t="str">
            <v>T ASUS P5KPL-VM S775 VGA/SATA/GBL/µATX</v>
          </cell>
          <cell r="C853">
            <v>0</v>
          </cell>
          <cell r="D853">
            <v>55</v>
          </cell>
        </row>
        <row r="854">
          <cell r="A854">
            <v>2110751</v>
          </cell>
          <cell r="B854" t="str">
            <v>ASUS SERVER P5BV-M S775 VGA/SATA/RAID/2xGBL/µATX</v>
          </cell>
          <cell r="C854">
            <v>0</v>
          </cell>
          <cell r="D854">
            <v>155</v>
          </cell>
        </row>
        <row r="855">
          <cell r="A855">
            <v>2110758</v>
          </cell>
          <cell r="B855" t="str">
            <v>T ASUS P5K S775 P35/SATA/GBL/1394</v>
          </cell>
          <cell r="C855">
            <v>0</v>
          </cell>
          <cell r="D855">
            <v>0</v>
          </cell>
        </row>
        <row r="856">
          <cell r="A856">
            <v>2110772</v>
          </cell>
          <cell r="B856" t="str">
            <v>T ASUS P7P55-M S1156 P55/RAID/GBL/1394/µATX***</v>
          </cell>
          <cell r="C856">
            <v>0</v>
          </cell>
          <cell r="D856">
            <v>75</v>
          </cell>
        </row>
        <row r="857">
          <cell r="A857">
            <v>2110834</v>
          </cell>
          <cell r="B857" t="str">
            <v>Systemboard ASUS Z9PE-D8 WS 2xS2011</v>
          </cell>
          <cell r="C857">
            <v>0</v>
          </cell>
          <cell r="D857">
            <v>370</v>
          </cell>
        </row>
        <row r="858">
          <cell r="A858">
            <v>2112000</v>
          </cell>
          <cell r="B858" t="str">
            <v>T Pegatron IP4BL-ME S775 G31/VGA/SATA/GBL/µATX</v>
          </cell>
          <cell r="C858">
            <v>0</v>
          </cell>
          <cell r="D858">
            <v>37</v>
          </cell>
        </row>
        <row r="859">
          <cell r="A859">
            <v>2112014</v>
          </cell>
          <cell r="B859" t="str">
            <v>T ASUS P7H55-M LE SI S1156 H55/VGA-DVI-HDMI/µATX</v>
          </cell>
          <cell r="C859">
            <v>0</v>
          </cell>
          <cell r="D859">
            <v>48.5</v>
          </cell>
        </row>
        <row r="860">
          <cell r="A860">
            <v>2112022</v>
          </cell>
          <cell r="B860" t="str">
            <v>T ASUS P8H67-M LE S1155 H67/DVI-HDMI/RD/USB3/µATX</v>
          </cell>
          <cell r="C860">
            <v>0</v>
          </cell>
          <cell r="D860">
            <v>69.900000000000006</v>
          </cell>
        </row>
        <row r="861">
          <cell r="A861">
            <v>2112023</v>
          </cell>
          <cell r="B861" t="str">
            <v>T ASUS P7H55-M/USB3 S1156 H55/VGA-HDMI/GBL/µATX***</v>
          </cell>
          <cell r="C861">
            <v>0</v>
          </cell>
          <cell r="D861">
            <v>0</v>
          </cell>
        </row>
        <row r="862">
          <cell r="A862">
            <v>2112025</v>
          </cell>
          <cell r="B862" t="str">
            <v>T ASUS P8P67 LE S1155 P67/RAID/GBL/1394/USB3</v>
          </cell>
          <cell r="C862">
            <v>0</v>
          </cell>
          <cell r="D862">
            <v>74.8</v>
          </cell>
        </row>
        <row r="863">
          <cell r="A863">
            <v>2119000</v>
          </cell>
          <cell r="B863" t="str">
            <v>1-fach Serielle Schnittstelle</v>
          </cell>
          <cell r="C863">
            <v>0</v>
          </cell>
          <cell r="D863">
            <v>1</v>
          </cell>
        </row>
        <row r="864">
          <cell r="A864">
            <v>2119011</v>
          </cell>
          <cell r="B864" t="str">
            <v>DVI PCI-E ADD2-ON Karte für i9xxG</v>
          </cell>
          <cell r="C864">
            <v>0</v>
          </cell>
          <cell r="D864">
            <v>11</v>
          </cell>
        </row>
        <row r="865">
          <cell r="A865">
            <v>2119023</v>
          </cell>
          <cell r="B865" t="str">
            <v>T ASUS USB Slotblech 2-fach</v>
          </cell>
          <cell r="C865">
            <v>0</v>
          </cell>
          <cell r="D865">
            <v>3.5</v>
          </cell>
        </row>
        <row r="866">
          <cell r="A866">
            <v>2119028</v>
          </cell>
          <cell r="B866" t="str">
            <v>Serielle Schnittstelle 50cm</v>
          </cell>
          <cell r="C866">
            <v>0</v>
          </cell>
          <cell r="D866">
            <v>3</v>
          </cell>
        </row>
        <row r="867">
          <cell r="A867">
            <v>2131903</v>
          </cell>
          <cell r="B867" t="str">
            <v>IO Seriell PCI 2x seriell DB9 (SUNIX 4037A)</v>
          </cell>
          <cell r="C867">
            <v>0</v>
          </cell>
          <cell r="D867">
            <v>0</v>
          </cell>
        </row>
        <row r="868">
          <cell r="A868">
            <v>2131904</v>
          </cell>
          <cell r="B868" t="str">
            <v>4-fach serielle PCI Karte (VSCOM 400L)</v>
          </cell>
          <cell r="C868">
            <v>0</v>
          </cell>
          <cell r="D868">
            <v>49</v>
          </cell>
        </row>
        <row r="869">
          <cell r="A869">
            <v>2131906</v>
          </cell>
          <cell r="B869" t="str">
            <v>Karte 2-fach seriell DB9 PCI EX-41052</v>
          </cell>
          <cell r="C869">
            <v>18</v>
          </cell>
          <cell r="D869">
            <v>18</v>
          </cell>
        </row>
        <row r="870">
          <cell r="A870">
            <v>2131937</v>
          </cell>
          <cell r="B870" t="str">
            <v>Karte FireWire 1394a PCIe 2+1 Port(VIA)</v>
          </cell>
          <cell r="C870">
            <v>124</v>
          </cell>
          <cell r="D870">
            <v>13.25</v>
          </cell>
        </row>
        <row r="871">
          <cell r="A871">
            <v>2131939</v>
          </cell>
          <cell r="B871" t="str">
            <v>IO PCIe 2x USB3.0 intern</v>
          </cell>
          <cell r="C871">
            <v>97</v>
          </cell>
          <cell r="D871">
            <v>12</v>
          </cell>
        </row>
        <row r="872">
          <cell r="A872">
            <v>2131940</v>
          </cell>
          <cell r="B872" t="str">
            <v>IO PCI 4xRS-232 Karte intern</v>
          </cell>
          <cell r="C872">
            <v>1</v>
          </cell>
          <cell r="D872">
            <v>46.1</v>
          </cell>
        </row>
        <row r="873">
          <cell r="A873">
            <v>2151166</v>
          </cell>
          <cell r="B873" t="str">
            <v>IO FireWire IEEE1394a  PCI  3+1 Port Low-Profile</v>
          </cell>
          <cell r="C873">
            <v>0</v>
          </cell>
          <cell r="D873">
            <v>12.5</v>
          </cell>
        </row>
        <row r="874">
          <cell r="A874">
            <v>2151167</v>
          </cell>
          <cell r="B874" t="str">
            <v>IO FireWire IEEE1394a  PCI  3+1 Port (SUNIX)</v>
          </cell>
          <cell r="C874">
            <v>0</v>
          </cell>
          <cell r="D874">
            <v>8.5</v>
          </cell>
        </row>
        <row r="875">
          <cell r="A875">
            <v>2151196</v>
          </cell>
          <cell r="B875" t="str">
            <v>IO Sunix PCIe 2x USB 3.0 (USB2300D) LP bulk</v>
          </cell>
          <cell r="C875">
            <v>0</v>
          </cell>
          <cell r="D875">
            <v>15.5</v>
          </cell>
        </row>
        <row r="876">
          <cell r="A876">
            <v>2151200</v>
          </cell>
          <cell r="B876" t="str">
            <v>IO WD PCIe 2x USB 3.0 Card Retail</v>
          </cell>
          <cell r="C876">
            <v>0</v>
          </cell>
          <cell r="D876">
            <v>7.5</v>
          </cell>
        </row>
        <row r="877">
          <cell r="A877">
            <v>2151326</v>
          </cell>
          <cell r="B877" t="str">
            <v>Hauppauge Impact VCB Videoschnittkarte PCI</v>
          </cell>
          <cell r="C877">
            <v>0</v>
          </cell>
          <cell r="D877">
            <v>48</v>
          </cell>
        </row>
        <row r="878">
          <cell r="A878">
            <v>2160011</v>
          </cell>
          <cell r="B878" t="str">
            <v>Systemboard TP139, Fujitsu Siemens D1447</v>
          </cell>
          <cell r="C878">
            <v>0</v>
          </cell>
          <cell r="D878">
            <v>25</v>
          </cell>
        </row>
        <row r="879">
          <cell r="A879">
            <v>2160021</v>
          </cell>
          <cell r="B879" t="str">
            <v>SIEMENS D1837-A S775 i915G/VGA/SATA/GBL/MPG</v>
          </cell>
          <cell r="C879">
            <v>0</v>
          </cell>
          <cell r="D879">
            <v>97</v>
          </cell>
        </row>
        <row r="880">
          <cell r="A880">
            <v>2160040</v>
          </cell>
          <cell r="B880" t="str">
            <v>SIEMENS D2156-S S775 i945G/VGA/SATA/RAID/GBL/GS 5*</v>
          </cell>
          <cell r="C880">
            <v>0</v>
          </cell>
          <cell r="D880">
            <v>109</v>
          </cell>
        </row>
        <row r="881">
          <cell r="A881">
            <v>2160043</v>
          </cell>
          <cell r="B881" t="str">
            <v>SIEMENS D2156-S2 S775 Vista/i945G/VGA/RAID/GBL</v>
          </cell>
          <cell r="C881">
            <v>0</v>
          </cell>
          <cell r="D881">
            <v>120</v>
          </cell>
        </row>
        <row r="882">
          <cell r="A882">
            <v>2160047</v>
          </cell>
          <cell r="B882" t="str">
            <v>FUJITSU D2836-S S775 Q45/VGA/RAID/2xGBL/TPM/ATX+++</v>
          </cell>
          <cell r="C882">
            <v>0</v>
          </cell>
          <cell r="D882">
            <v>0</v>
          </cell>
        </row>
        <row r="883">
          <cell r="A883">
            <v>2160048</v>
          </cell>
          <cell r="B883" t="str">
            <v>Mainboard Siemens D2831-S</v>
          </cell>
          <cell r="C883">
            <v>44</v>
          </cell>
          <cell r="D883">
            <v>155</v>
          </cell>
        </row>
        <row r="884">
          <cell r="A884">
            <v>2160103</v>
          </cell>
          <cell r="B884" t="str">
            <v>Mainboard Fujitsu D3062-B µATX</v>
          </cell>
          <cell r="C884">
            <v>25</v>
          </cell>
          <cell r="D884">
            <v>98.8</v>
          </cell>
        </row>
        <row r="885">
          <cell r="A885">
            <v>2160106</v>
          </cell>
          <cell r="B885" t="str">
            <v>Systemboard Fujitsu D3162-B</v>
          </cell>
          <cell r="C885">
            <v>74</v>
          </cell>
          <cell r="D885">
            <v>99</v>
          </cell>
        </row>
        <row r="886">
          <cell r="A886">
            <v>2161001</v>
          </cell>
          <cell r="B886" t="str">
            <v>Epox IP-4GVI20 i845GV/VGA/GBL/3xISA</v>
          </cell>
          <cell r="C886">
            <v>0</v>
          </cell>
          <cell r="D886">
            <v>168</v>
          </cell>
        </row>
        <row r="887">
          <cell r="A887">
            <v>2162023</v>
          </cell>
          <cell r="B887" t="str">
            <v>Intel SE7230NH1-LX (Nob Hill)Single P4</v>
          </cell>
          <cell r="C887">
            <v>0</v>
          </cell>
          <cell r="D887">
            <v>228</v>
          </cell>
        </row>
        <row r="888">
          <cell r="A888">
            <v>2162043</v>
          </cell>
          <cell r="B888" t="str">
            <v>Intel S5000VSASATAR (Sapello)/FBDIMM/6-Port SATA</v>
          </cell>
          <cell r="C888">
            <v>0</v>
          </cell>
          <cell r="D888">
            <v>220</v>
          </cell>
        </row>
        <row r="889">
          <cell r="A889">
            <v>2162058</v>
          </cell>
          <cell r="B889" t="str">
            <v>Intel S3420GPLX (Grosse Point)Single Xeon S1156</v>
          </cell>
          <cell r="C889">
            <v>0</v>
          </cell>
          <cell r="D889">
            <v>50</v>
          </cell>
        </row>
        <row r="890">
          <cell r="A890">
            <v>2162059</v>
          </cell>
          <cell r="B890" t="str">
            <v>Intel S5520HCR (Hanlan Creek) 12x DDR3</v>
          </cell>
          <cell r="C890">
            <v>0</v>
          </cell>
          <cell r="D890">
            <v>100</v>
          </cell>
        </row>
        <row r="891">
          <cell r="A891">
            <v>2169014</v>
          </cell>
          <cell r="B891" t="str">
            <v>Treiber DVD Siemens D2831-S</v>
          </cell>
          <cell r="C891">
            <v>215</v>
          </cell>
          <cell r="D891">
            <v>0.6</v>
          </cell>
        </row>
        <row r="892">
          <cell r="A892">
            <v>2180264</v>
          </cell>
          <cell r="B892" t="str">
            <v>CPU Intel P4  2.8 GHz / 478 Pin / FSB533</v>
          </cell>
          <cell r="C892">
            <v>0</v>
          </cell>
          <cell r="D892">
            <v>75</v>
          </cell>
        </row>
        <row r="893">
          <cell r="A893">
            <v>2180400</v>
          </cell>
          <cell r="B893" t="str">
            <v>NB CPU Intel Pentium M 735 / FSB400</v>
          </cell>
          <cell r="C893">
            <v>0</v>
          </cell>
          <cell r="D893">
            <v>176</v>
          </cell>
        </row>
        <row r="894">
          <cell r="A894">
            <v>2180404</v>
          </cell>
          <cell r="B894" t="str">
            <v>CPU Intel XEON 2.4AGHz/Box/Sockel 604/533***</v>
          </cell>
          <cell r="C894">
            <v>0</v>
          </cell>
          <cell r="D894">
            <v>189.51</v>
          </cell>
        </row>
        <row r="895">
          <cell r="A895">
            <v>2180450</v>
          </cell>
          <cell r="B895" t="str">
            <v>CPU Intel Pentium 4 640 / FSB800 / 775 / 2MB</v>
          </cell>
          <cell r="C895">
            <v>0</v>
          </cell>
          <cell r="D895">
            <v>159</v>
          </cell>
        </row>
        <row r="896">
          <cell r="A896">
            <v>2180451</v>
          </cell>
          <cell r="B896" t="str">
            <v>CPU Intel Pentium 4 650 3.4 GHz</v>
          </cell>
          <cell r="C896">
            <v>0</v>
          </cell>
          <cell r="D896">
            <v>220.5</v>
          </cell>
        </row>
        <row r="897">
          <cell r="A897">
            <v>2180455</v>
          </cell>
          <cell r="B897" t="str">
            <v>NB CPU Intel Celeron M 370 / FSB400</v>
          </cell>
          <cell r="C897">
            <v>0</v>
          </cell>
          <cell r="D897">
            <v>54.5</v>
          </cell>
        </row>
        <row r="898">
          <cell r="A898">
            <v>2180459</v>
          </cell>
          <cell r="B898" t="str">
            <v>CPU Intel P4  2.8 GHz / 478 Pin / FSB533</v>
          </cell>
          <cell r="C898">
            <v>0</v>
          </cell>
          <cell r="D898">
            <v>134</v>
          </cell>
        </row>
        <row r="899">
          <cell r="A899">
            <v>2180460</v>
          </cell>
          <cell r="B899" t="str">
            <v>NB CPU Intel Pentium M 745 / FSB400</v>
          </cell>
          <cell r="C899">
            <v>0</v>
          </cell>
          <cell r="D899">
            <v>204</v>
          </cell>
        </row>
        <row r="900">
          <cell r="A900">
            <v>2180463</v>
          </cell>
          <cell r="B900" t="str">
            <v>NB CPU Intel Pentium M 715 / FSB400</v>
          </cell>
          <cell r="C900">
            <v>0</v>
          </cell>
          <cell r="D900">
            <v>69.5</v>
          </cell>
        </row>
        <row r="901">
          <cell r="A901">
            <v>2180469</v>
          </cell>
          <cell r="B901" t="str">
            <v>CPU Intel Celeron D 336 / FSB533 / 775 / Box</v>
          </cell>
          <cell r="C901">
            <v>0</v>
          </cell>
          <cell r="D901">
            <v>50</v>
          </cell>
        </row>
        <row r="902">
          <cell r="A902">
            <v>2180474</v>
          </cell>
          <cell r="B902" t="str">
            <v>CPU Intel Celeron D 341 / FSB533 / 775</v>
          </cell>
          <cell r="C902">
            <v>0</v>
          </cell>
          <cell r="D902">
            <v>42</v>
          </cell>
        </row>
        <row r="903">
          <cell r="A903">
            <v>2180485</v>
          </cell>
          <cell r="B903" t="str">
            <v>CPU Intel XEON 3.06AGHz/Box/Sockel 604/533/1HE*</v>
          </cell>
          <cell r="C903">
            <v>0</v>
          </cell>
          <cell r="D903">
            <v>299</v>
          </cell>
        </row>
        <row r="904">
          <cell r="A904">
            <v>2180508</v>
          </cell>
          <cell r="B904" t="str">
            <v>CPU Intel Pentium 4 651 / FSB800 / 775 / 2MB</v>
          </cell>
          <cell r="C904">
            <v>0</v>
          </cell>
          <cell r="D904">
            <v>145</v>
          </cell>
        </row>
        <row r="905">
          <cell r="A905">
            <v>2180524</v>
          </cell>
          <cell r="B905" t="str">
            <v>YY NB CPU Intel Pentium M 735 / FSB400 ***</v>
          </cell>
          <cell r="C905">
            <v>0</v>
          </cell>
          <cell r="D905">
            <v>178</v>
          </cell>
        </row>
        <row r="906">
          <cell r="A906">
            <v>2180540</v>
          </cell>
          <cell r="B906" t="str">
            <v>CPU Intel Celeron D 326 / FSB533 / 775***</v>
          </cell>
          <cell r="C906">
            <v>0</v>
          </cell>
          <cell r="D906">
            <v>59</v>
          </cell>
        </row>
        <row r="907">
          <cell r="A907">
            <v>2180543</v>
          </cell>
          <cell r="B907" t="str">
            <v>CPU Intel Celeron D 331 / FSB533 / 775 ***</v>
          </cell>
          <cell r="C907">
            <v>0</v>
          </cell>
          <cell r="D907">
            <v>29</v>
          </cell>
        </row>
        <row r="908">
          <cell r="A908">
            <v>2180571</v>
          </cell>
          <cell r="B908" t="str">
            <v>NB CPU Intel Pentium M 740 / FSB533</v>
          </cell>
          <cell r="C908">
            <v>0</v>
          </cell>
          <cell r="D908">
            <v>165</v>
          </cell>
        </row>
        <row r="909">
          <cell r="A909">
            <v>2180572</v>
          </cell>
          <cell r="B909" t="str">
            <v>NB CPU Intel Pentium M 750 / FSB533</v>
          </cell>
          <cell r="C909">
            <v>0</v>
          </cell>
          <cell r="D909">
            <v>165</v>
          </cell>
        </row>
        <row r="910">
          <cell r="A910">
            <v>2180573</v>
          </cell>
          <cell r="B910" t="str">
            <v>NB CPU Intel Pentium M 760 / FSB533</v>
          </cell>
          <cell r="C910">
            <v>0</v>
          </cell>
          <cell r="D910">
            <v>259</v>
          </cell>
        </row>
        <row r="911">
          <cell r="A911">
            <v>2180574</v>
          </cell>
          <cell r="B911" t="str">
            <v>NB CPU Intel Pentium M 770 / FSB533</v>
          </cell>
          <cell r="C911">
            <v>0</v>
          </cell>
          <cell r="D911">
            <v>375</v>
          </cell>
        </row>
        <row r="912">
          <cell r="A912">
            <v>2180576</v>
          </cell>
          <cell r="B912" t="str">
            <v>NB CPU Intel Celeron M 360 / FSB400</v>
          </cell>
          <cell r="C912">
            <v>0</v>
          </cell>
          <cell r="D912">
            <v>49</v>
          </cell>
        </row>
        <row r="913">
          <cell r="A913">
            <v>2180578</v>
          </cell>
          <cell r="B913" t="str">
            <v>NB CPU Intel Celeron M 410 / FSB533</v>
          </cell>
          <cell r="C913">
            <v>0</v>
          </cell>
          <cell r="D913">
            <v>52</v>
          </cell>
        </row>
        <row r="914">
          <cell r="A914">
            <v>2180579</v>
          </cell>
          <cell r="B914" t="str">
            <v>NB CPU Intel Celeron M 430 / FSB533</v>
          </cell>
          <cell r="C914">
            <v>0</v>
          </cell>
          <cell r="D914">
            <v>39.5</v>
          </cell>
        </row>
        <row r="915">
          <cell r="A915">
            <v>2180608</v>
          </cell>
          <cell r="B915" t="str">
            <v>NB CPU AMD Mobile Turion64 ML-37 / 35 Watt</v>
          </cell>
          <cell r="C915">
            <v>0</v>
          </cell>
          <cell r="D915">
            <v>165</v>
          </cell>
        </row>
        <row r="916">
          <cell r="A916">
            <v>2180610</v>
          </cell>
          <cell r="B916" t="str">
            <v>NB CPU AMD Mobile Turion64 ML-34 / 35 Watt</v>
          </cell>
          <cell r="C916">
            <v>0</v>
          </cell>
          <cell r="D916">
            <v>115</v>
          </cell>
        </row>
        <row r="917">
          <cell r="A917">
            <v>2180671</v>
          </cell>
          <cell r="B917" t="str">
            <v>CPU Intel Pentium D 820 2 x 2.8 GHz DualCore</v>
          </cell>
          <cell r="C917">
            <v>0</v>
          </cell>
          <cell r="D917">
            <v>180</v>
          </cell>
        </row>
        <row r="918">
          <cell r="A918">
            <v>2180676</v>
          </cell>
          <cell r="B918" t="str">
            <v>CPU Intel Pentium 4 641 / FSB800 / 775 / 2MB / Box</v>
          </cell>
          <cell r="C918">
            <v>0</v>
          </cell>
          <cell r="D918">
            <v>144.94</v>
          </cell>
        </row>
        <row r="919">
          <cell r="A919">
            <v>2180677</v>
          </cell>
          <cell r="B919" t="str">
            <v>CPU Intel Pentium 4 630 / FSB800 / 775 / 2MB</v>
          </cell>
          <cell r="C919">
            <v>0</v>
          </cell>
          <cell r="D919">
            <v>157</v>
          </cell>
        </row>
        <row r="920">
          <cell r="A920">
            <v>2180679</v>
          </cell>
          <cell r="B920" t="str">
            <v>CPU Intel Pentium D 820 / FSB533 / 775 / Box</v>
          </cell>
          <cell r="C920">
            <v>0</v>
          </cell>
          <cell r="D920">
            <v>115</v>
          </cell>
        </row>
        <row r="921">
          <cell r="A921">
            <v>2180680</v>
          </cell>
          <cell r="B921" t="str">
            <v>CPU Intel Pentium D 920 / FSB800 / 775 / Box</v>
          </cell>
          <cell r="C921">
            <v>0</v>
          </cell>
          <cell r="D921">
            <v>125</v>
          </cell>
        </row>
        <row r="922">
          <cell r="A922">
            <v>2180681</v>
          </cell>
          <cell r="B922" t="str">
            <v>CPU Intel Pentium D 930 / FSB800 / 775 / Box</v>
          </cell>
          <cell r="C922">
            <v>0</v>
          </cell>
          <cell r="D922">
            <v>175</v>
          </cell>
        </row>
        <row r="923">
          <cell r="A923">
            <v>2180682</v>
          </cell>
          <cell r="B923" t="str">
            <v>CPU Intel Pentium D 940 / FSB800 / 775 / Box</v>
          </cell>
          <cell r="C923">
            <v>0</v>
          </cell>
          <cell r="D923">
            <v>219</v>
          </cell>
        </row>
        <row r="924">
          <cell r="A924">
            <v>2180683</v>
          </cell>
          <cell r="B924" t="str">
            <v>CPU Intel Pentium D 950 / FSB800 / 775 / Box</v>
          </cell>
          <cell r="C924">
            <v>0</v>
          </cell>
          <cell r="D924">
            <v>189</v>
          </cell>
        </row>
        <row r="925">
          <cell r="A925">
            <v>2180685</v>
          </cell>
          <cell r="B925" t="str">
            <v>CPU Intel Pentium D 945 / FSB800 / 775</v>
          </cell>
          <cell r="C925">
            <v>0</v>
          </cell>
          <cell r="D925">
            <v>140</v>
          </cell>
        </row>
        <row r="926">
          <cell r="A926">
            <v>2180686</v>
          </cell>
          <cell r="B926" t="str">
            <v>CPU Intel Pentium D 925 /FSB800/775</v>
          </cell>
          <cell r="C926">
            <v>0</v>
          </cell>
          <cell r="D926">
            <v>67.5</v>
          </cell>
        </row>
        <row r="927">
          <cell r="A927">
            <v>2180687</v>
          </cell>
          <cell r="B927" t="str">
            <v>CPU Intel Pentium D 925 / FSB800 / 775 ***</v>
          </cell>
          <cell r="C927">
            <v>0</v>
          </cell>
          <cell r="D927">
            <v>65</v>
          </cell>
        </row>
        <row r="928">
          <cell r="A928">
            <v>2180690</v>
          </cell>
          <cell r="B928" t="str">
            <v>CPU Intel Core 2 Duo E6300 / FSB1066 / 775</v>
          </cell>
          <cell r="C928">
            <v>0</v>
          </cell>
          <cell r="D928">
            <v>139</v>
          </cell>
        </row>
        <row r="929">
          <cell r="A929">
            <v>2180691</v>
          </cell>
          <cell r="B929" t="str">
            <v>CPU Intel Core 2 Duo E6400 / FSB1066 / 775</v>
          </cell>
          <cell r="C929">
            <v>0</v>
          </cell>
          <cell r="D929">
            <v>145</v>
          </cell>
        </row>
        <row r="930">
          <cell r="A930">
            <v>2180694</v>
          </cell>
          <cell r="B930" t="str">
            <v>CPU Intel Core 2 Duo E6600 / FSB1066 / 775</v>
          </cell>
          <cell r="C930">
            <v>0</v>
          </cell>
          <cell r="D930">
            <v>153</v>
          </cell>
        </row>
        <row r="931">
          <cell r="A931">
            <v>2180696</v>
          </cell>
          <cell r="B931" t="str">
            <v>NB CPU Intel T2400 / FSB667 / Core Duo</v>
          </cell>
          <cell r="C931">
            <v>0</v>
          </cell>
          <cell r="D931">
            <v>200</v>
          </cell>
        </row>
        <row r="932">
          <cell r="A932">
            <v>2180697</v>
          </cell>
          <cell r="B932" t="str">
            <v>NB CPU Intel T2500 / FSB667 / Core Duo</v>
          </cell>
          <cell r="C932">
            <v>0</v>
          </cell>
          <cell r="D932">
            <v>240</v>
          </cell>
        </row>
        <row r="933">
          <cell r="A933">
            <v>2180698</v>
          </cell>
          <cell r="B933" t="str">
            <v>NB CPU Intel T2300E / FSB667 / Core Duo</v>
          </cell>
          <cell r="C933">
            <v>0</v>
          </cell>
          <cell r="D933">
            <v>165</v>
          </cell>
        </row>
        <row r="934">
          <cell r="A934">
            <v>2180699</v>
          </cell>
          <cell r="B934" t="str">
            <v>CPU Intel Core 2 Duo E6700 / FSB1066 / 775</v>
          </cell>
          <cell r="C934">
            <v>0</v>
          </cell>
          <cell r="D934">
            <v>233.9</v>
          </cell>
        </row>
        <row r="935">
          <cell r="A935">
            <v>2180700</v>
          </cell>
          <cell r="B935" t="str">
            <v>CPU Intel Pentium D 805 / FSB533 / 775</v>
          </cell>
          <cell r="C935">
            <v>0</v>
          </cell>
          <cell r="D935">
            <v>66</v>
          </cell>
        </row>
        <row r="936">
          <cell r="A936">
            <v>2180702</v>
          </cell>
          <cell r="B936" t="str">
            <v>CPU Intel Pentium 4 661 / FSB800 / 775 / 2MB</v>
          </cell>
          <cell r="C936">
            <v>0</v>
          </cell>
          <cell r="D936">
            <v>145</v>
          </cell>
        </row>
        <row r="937">
          <cell r="A937">
            <v>2180704</v>
          </cell>
          <cell r="B937" t="str">
            <v>CPU Intel Pentium D 915 / FSB800 / 775 / Box</v>
          </cell>
          <cell r="C937">
            <v>0</v>
          </cell>
          <cell r="D937">
            <v>115</v>
          </cell>
        </row>
        <row r="938">
          <cell r="A938">
            <v>2180706</v>
          </cell>
          <cell r="B938" t="str">
            <v>CPU Intel Pentium D 915 2x2.80GHz Dualcore/775/2MB</v>
          </cell>
          <cell r="C938">
            <v>0</v>
          </cell>
          <cell r="D938">
            <v>77</v>
          </cell>
        </row>
        <row r="939">
          <cell r="A939">
            <v>2180707</v>
          </cell>
          <cell r="B939" t="str">
            <v>CPU Intel T7200 / FSB667 / Core 2 Duo</v>
          </cell>
          <cell r="C939">
            <v>0</v>
          </cell>
          <cell r="D939">
            <v>102</v>
          </cell>
        </row>
        <row r="940">
          <cell r="A940">
            <v>2180708</v>
          </cell>
          <cell r="B940" t="str">
            <v>Prozessor Intel Core 2 Duo T5600</v>
          </cell>
          <cell r="C940">
            <v>1</v>
          </cell>
          <cell r="D940">
            <v>158</v>
          </cell>
        </row>
        <row r="941">
          <cell r="A941">
            <v>2180709</v>
          </cell>
          <cell r="B941" t="str">
            <v>NB CPU Intel T2050 / FSB533 / Core Duo</v>
          </cell>
          <cell r="C941">
            <v>0</v>
          </cell>
          <cell r="D941">
            <v>92</v>
          </cell>
        </row>
        <row r="942">
          <cell r="A942">
            <v>2180719</v>
          </cell>
          <cell r="B942" t="str">
            <v>CPU Intel Core 2 Duo E6700 / FSB1066 / 775 / Box</v>
          </cell>
          <cell r="C942">
            <v>0</v>
          </cell>
          <cell r="D942">
            <v>240</v>
          </cell>
        </row>
        <row r="943">
          <cell r="A943">
            <v>2180722</v>
          </cell>
          <cell r="B943" t="str">
            <v>NB Intel PRO/Wireless LAN WM3B2915ABGEUX</v>
          </cell>
          <cell r="C943">
            <v>0</v>
          </cell>
          <cell r="D943">
            <v>25.9</v>
          </cell>
        </row>
        <row r="944">
          <cell r="A944">
            <v>2180723</v>
          </cell>
          <cell r="B944" t="str">
            <v>NB Intel PRO/Wireless LAN 3945ABG Mini-PCI Express</v>
          </cell>
          <cell r="C944">
            <v>0</v>
          </cell>
          <cell r="D944">
            <v>25</v>
          </cell>
        </row>
        <row r="945">
          <cell r="A945">
            <v>2180724</v>
          </cell>
          <cell r="B945" t="str">
            <v>Prozessor Intel Core 2 Duo T5500</v>
          </cell>
          <cell r="C945">
            <v>8</v>
          </cell>
          <cell r="D945">
            <v>149.84</v>
          </cell>
        </row>
        <row r="946">
          <cell r="A946">
            <v>2180727</v>
          </cell>
          <cell r="B946" t="str">
            <v>Prozessor Intel T7400 Core 2 Duo</v>
          </cell>
          <cell r="C946">
            <v>236</v>
          </cell>
          <cell r="D946">
            <v>220</v>
          </cell>
        </row>
        <row r="947">
          <cell r="A947">
            <v>2180730</v>
          </cell>
          <cell r="B947" t="str">
            <v>CPU Intel Core 2 Duo E4300 / FSB800 / 775</v>
          </cell>
          <cell r="C947">
            <v>0</v>
          </cell>
          <cell r="D947">
            <v>97</v>
          </cell>
        </row>
        <row r="948">
          <cell r="A948">
            <v>2180738</v>
          </cell>
          <cell r="B948" t="str">
            <v>CPU Intel Core 2 Duo E6420 / FSB1066 / 775 / Box</v>
          </cell>
          <cell r="C948">
            <v>0</v>
          </cell>
          <cell r="D948">
            <v>146.5</v>
          </cell>
        </row>
        <row r="949">
          <cell r="A949">
            <v>2180739</v>
          </cell>
          <cell r="B949" t="str">
            <v>CPU Intel Core 2 Duo E6320 / FSB1066 / 775</v>
          </cell>
          <cell r="C949">
            <v>0</v>
          </cell>
          <cell r="D949">
            <v>125</v>
          </cell>
        </row>
        <row r="950">
          <cell r="A950">
            <v>2180740</v>
          </cell>
          <cell r="B950" t="str">
            <v>CPU Intel Core 2 Duo E6420 / FSB1066 / 775</v>
          </cell>
          <cell r="C950">
            <v>0</v>
          </cell>
          <cell r="D950">
            <v>113.35</v>
          </cell>
        </row>
        <row r="951">
          <cell r="A951">
            <v>2180741</v>
          </cell>
          <cell r="B951" t="str">
            <v>CPU Intel Core 2 Duo E4400 / FSB800 / 775 / Box</v>
          </cell>
          <cell r="C951">
            <v>0</v>
          </cell>
          <cell r="D951">
            <v>109</v>
          </cell>
        </row>
        <row r="952">
          <cell r="A952">
            <v>2180743</v>
          </cell>
          <cell r="B952" t="str">
            <v>Prozessor Intel Quad Core Q6600 (Boxed mit Lüfter)</v>
          </cell>
          <cell r="C952">
            <v>0</v>
          </cell>
          <cell r="D952">
            <v>120</v>
          </cell>
        </row>
        <row r="953">
          <cell r="A953">
            <v>2180753</v>
          </cell>
          <cell r="B953" t="str">
            <v>CPU Intel Core 2 Duo E4400 / FSB800 / 775</v>
          </cell>
          <cell r="C953">
            <v>0</v>
          </cell>
          <cell r="D953">
            <v>86.5</v>
          </cell>
        </row>
        <row r="954">
          <cell r="A954">
            <v>2180760</v>
          </cell>
          <cell r="B954" t="str">
            <v>CPU Intel Celeron D 346 / FSB533 / 775</v>
          </cell>
          <cell r="C954">
            <v>0</v>
          </cell>
          <cell r="D954">
            <v>32.64</v>
          </cell>
        </row>
        <row r="955">
          <cell r="A955">
            <v>2180776</v>
          </cell>
          <cell r="B955" t="str">
            <v>CPU Intel Pentium 4 631 / FSB800 / 775 / 2MB  ***</v>
          </cell>
          <cell r="C955">
            <v>0</v>
          </cell>
          <cell r="D955">
            <v>51.5</v>
          </cell>
        </row>
        <row r="956">
          <cell r="A956">
            <v>2180779</v>
          </cell>
          <cell r="B956" t="str">
            <v>NB CPU Intel T7700 / FSB800 / Core 2 Duo Sockel P</v>
          </cell>
          <cell r="C956">
            <v>0</v>
          </cell>
          <cell r="D956">
            <v>249.5</v>
          </cell>
        </row>
        <row r="957">
          <cell r="A957">
            <v>2180782</v>
          </cell>
          <cell r="B957" t="str">
            <v>CPU Intel Core 2 Duo E6550 / FSB1333 / 775 / Box</v>
          </cell>
          <cell r="C957">
            <v>0</v>
          </cell>
          <cell r="D957">
            <v>118</v>
          </cell>
        </row>
        <row r="958">
          <cell r="A958">
            <v>2180784</v>
          </cell>
          <cell r="B958" t="str">
            <v>CPU Intel Celeron 420 / FSB800 / 775</v>
          </cell>
          <cell r="C958">
            <v>0</v>
          </cell>
          <cell r="D958">
            <v>22</v>
          </cell>
        </row>
        <row r="959">
          <cell r="A959">
            <v>2180789</v>
          </cell>
          <cell r="B959" t="str">
            <v>CPU Intel Celeron 430 / FSB800 / 775</v>
          </cell>
          <cell r="C959">
            <v>0</v>
          </cell>
          <cell r="D959">
            <v>23</v>
          </cell>
        </row>
        <row r="960">
          <cell r="A960">
            <v>2180791</v>
          </cell>
          <cell r="B960" t="str">
            <v>CPU Intel Celeron 440 / FSB800 / 775</v>
          </cell>
          <cell r="C960">
            <v>0</v>
          </cell>
          <cell r="D960">
            <v>31</v>
          </cell>
        </row>
        <row r="961">
          <cell r="A961">
            <v>2180793</v>
          </cell>
          <cell r="B961" t="str">
            <v>CPU Intel Core 2 Duo E6750 / FSB1333 / 775</v>
          </cell>
          <cell r="C961">
            <v>0</v>
          </cell>
          <cell r="D961">
            <v>130</v>
          </cell>
        </row>
        <row r="962">
          <cell r="A962">
            <v>2180794</v>
          </cell>
          <cell r="B962" t="str">
            <v>CPU Intel Core 2 Duo E6750 / FSB1333 / 775 / Box</v>
          </cell>
          <cell r="C962">
            <v>0</v>
          </cell>
          <cell r="D962">
            <v>144.5</v>
          </cell>
        </row>
        <row r="963">
          <cell r="A963">
            <v>2180796</v>
          </cell>
          <cell r="B963" t="str">
            <v>CPU Intel Core 2 Duo E6850 / FSB1333 / 775 / Box</v>
          </cell>
          <cell r="C963">
            <v>0</v>
          </cell>
          <cell r="D963">
            <v>149.5</v>
          </cell>
        </row>
        <row r="964">
          <cell r="A964">
            <v>2180798</v>
          </cell>
          <cell r="B964" t="str">
            <v>CPU Intel Pentium Dual-Core E2180 / FSB800 / 775</v>
          </cell>
          <cell r="C964">
            <v>0</v>
          </cell>
          <cell r="D964">
            <v>43.5</v>
          </cell>
        </row>
        <row r="965">
          <cell r="A965">
            <v>2180799</v>
          </cell>
          <cell r="B965" t="str">
            <v>CPU Intel Pentium Dual-Core E2180 / FSB800 / Box</v>
          </cell>
          <cell r="C965">
            <v>0</v>
          </cell>
          <cell r="D965">
            <v>47.5</v>
          </cell>
        </row>
        <row r="966">
          <cell r="A966">
            <v>2180807</v>
          </cell>
          <cell r="B966" t="str">
            <v>YY CPU Intel XEON 3.2GHz/Box/S604/800 AH***</v>
          </cell>
          <cell r="C966">
            <v>0</v>
          </cell>
          <cell r="D966">
            <v>200</v>
          </cell>
        </row>
        <row r="967">
          <cell r="A967">
            <v>2180815</v>
          </cell>
          <cell r="B967" t="str">
            <v>CPU Intel XEON 3.0GHz/Box/Sockel 604/800/2MB AH</v>
          </cell>
          <cell r="C967">
            <v>0</v>
          </cell>
          <cell r="D967">
            <v>210</v>
          </cell>
        </row>
        <row r="968">
          <cell r="A968">
            <v>2180816</v>
          </cell>
          <cell r="B968" t="str">
            <v>CPU Intel XEON 3.0GHz/Box/Sockel 604/800/2MB PH</v>
          </cell>
          <cell r="C968">
            <v>0</v>
          </cell>
          <cell r="D968">
            <v>220</v>
          </cell>
        </row>
        <row r="969">
          <cell r="A969">
            <v>2180819</v>
          </cell>
          <cell r="B969" t="str">
            <v>CPU Intel XEON 3.2GHz/Box/Sockel 604/800/2MB AH</v>
          </cell>
          <cell r="C969">
            <v>0</v>
          </cell>
          <cell r="D969">
            <v>255</v>
          </cell>
        </row>
        <row r="970">
          <cell r="A970">
            <v>2180820</v>
          </cell>
          <cell r="B970" t="str">
            <v>CPU Intel XEON 3.2GHz/Box/Sockel 604/800/2MB PH</v>
          </cell>
          <cell r="C970">
            <v>0</v>
          </cell>
          <cell r="D970">
            <v>260</v>
          </cell>
        </row>
        <row r="971">
          <cell r="A971">
            <v>2180822</v>
          </cell>
          <cell r="B971" t="str">
            <v>CPU Intel XEON 3.4GHz/Box/Sockel 604/800/2MB AH</v>
          </cell>
          <cell r="C971">
            <v>0</v>
          </cell>
          <cell r="D971">
            <v>395</v>
          </cell>
        </row>
        <row r="972">
          <cell r="A972">
            <v>2180823</v>
          </cell>
          <cell r="B972" t="str">
            <v>CPU Intel XEON 3.4GHz/Box/Sockel 604/800/2MB PH</v>
          </cell>
          <cell r="C972">
            <v>0</v>
          </cell>
          <cell r="D972">
            <v>395</v>
          </cell>
        </row>
        <row r="973">
          <cell r="A973">
            <v>2180835</v>
          </cell>
          <cell r="B973" t="str">
            <v>CPU Intel XEON 2.8GHz/Box/Sockel 604/800/2MB AH</v>
          </cell>
          <cell r="C973">
            <v>0</v>
          </cell>
          <cell r="D973">
            <v>180</v>
          </cell>
        </row>
        <row r="974">
          <cell r="A974">
            <v>2180836</v>
          </cell>
          <cell r="B974" t="str">
            <v>CPU Intel XEON 2.8GHz/Box/Sockel 604/800/2MB PH</v>
          </cell>
          <cell r="C974">
            <v>0</v>
          </cell>
          <cell r="D974">
            <v>180</v>
          </cell>
        </row>
        <row r="975">
          <cell r="A975">
            <v>2180847</v>
          </cell>
          <cell r="B975" t="str">
            <v>CPU Intel XEON 5050/3.0 GHz/FSB667/2x 2MB Passiv</v>
          </cell>
          <cell r="C975">
            <v>0</v>
          </cell>
          <cell r="D975">
            <v>155</v>
          </cell>
        </row>
        <row r="976">
          <cell r="A976">
            <v>2180848</v>
          </cell>
          <cell r="B976" t="str">
            <v>Y CPU AMD Athlon 64 FX-55 / S939 / Box</v>
          </cell>
          <cell r="C976">
            <v>0</v>
          </cell>
          <cell r="D976">
            <v>0</v>
          </cell>
        </row>
        <row r="977">
          <cell r="A977">
            <v>2180854</v>
          </cell>
          <cell r="B977" t="str">
            <v>CPU Intel XEON 5060/3.2 GHz/FSB1066/2x 2MB Aktiv</v>
          </cell>
          <cell r="C977">
            <v>0</v>
          </cell>
          <cell r="D977">
            <v>278</v>
          </cell>
        </row>
        <row r="978">
          <cell r="A978">
            <v>2180876</v>
          </cell>
          <cell r="B978" t="str">
            <v>CPU Intel XEON SP 3040/1.86 GHz/FSB1066/2MB Box</v>
          </cell>
          <cell r="C978">
            <v>0</v>
          </cell>
          <cell r="D978">
            <v>99</v>
          </cell>
        </row>
        <row r="979">
          <cell r="A979">
            <v>2180877</v>
          </cell>
          <cell r="B979" t="str">
            <v>CPU Intel XEON SP 3050/2.13 GHz/FSB1066/2MB Box</v>
          </cell>
          <cell r="C979">
            <v>0</v>
          </cell>
          <cell r="D979">
            <v>139</v>
          </cell>
        </row>
        <row r="980">
          <cell r="A980">
            <v>2180878</v>
          </cell>
          <cell r="B980" t="str">
            <v>CPU Intel XEON SP 3060/2.40 GHz/FSB1066/4MB Box</v>
          </cell>
          <cell r="C980">
            <v>0</v>
          </cell>
          <cell r="D980">
            <v>165</v>
          </cell>
        </row>
        <row r="981">
          <cell r="A981">
            <v>2180879</v>
          </cell>
          <cell r="B981" t="str">
            <v>CPU Intel XEON SP 3070/2.66 GHz/FSB1066/4MB Box</v>
          </cell>
          <cell r="C981">
            <v>0</v>
          </cell>
          <cell r="D981">
            <v>229</v>
          </cell>
        </row>
        <row r="982">
          <cell r="A982">
            <v>2180885</v>
          </cell>
          <cell r="B982" t="str">
            <v>CPU Intel XEON E5320/1.86 GHz/FSB1066/8MB Aktiv</v>
          </cell>
          <cell r="C982">
            <v>0</v>
          </cell>
          <cell r="D982">
            <v>219</v>
          </cell>
        </row>
        <row r="983">
          <cell r="A983">
            <v>2180891</v>
          </cell>
          <cell r="B983" t="str">
            <v>CPU Intel XEON E5310/1.6 GHz/FSB1066/8MB Passiv</v>
          </cell>
          <cell r="C983">
            <v>0</v>
          </cell>
          <cell r="D983">
            <v>175</v>
          </cell>
        </row>
        <row r="984">
          <cell r="A984">
            <v>2180892</v>
          </cell>
          <cell r="B984" t="str">
            <v>CPU Intel XEON E5335/2.0 GHz/FSB1333/8MB Passiv</v>
          </cell>
          <cell r="C984">
            <v>0</v>
          </cell>
          <cell r="D984">
            <v>250</v>
          </cell>
        </row>
        <row r="985">
          <cell r="A985">
            <v>2180902</v>
          </cell>
          <cell r="B985" t="str">
            <v>CPU Intel P4  3.0 GHz / 478 Pin / FSB800 / 1MB ***</v>
          </cell>
          <cell r="C985">
            <v>0</v>
          </cell>
          <cell r="D985">
            <v>73.5</v>
          </cell>
        </row>
        <row r="986">
          <cell r="A986">
            <v>2180909</v>
          </cell>
          <cell r="B986" t="str">
            <v>CPU Intel XEON SP X3230/2.66 GHz/FSB1066/8MB Box</v>
          </cell>
          <cell r="C986">
            <v>0</v>
          </cell>
          <cell r="D986">
            <v>245.57</v>
          </cell>
        </row>
        <row r="987">
          <cell r="A987">
            <v>2180912</v>
          </cell>
          <cell r="B987" t="str">
            <v>CPU Intel P4  3.0 GHz / 478 Pin / FSB800 /1MB/Box*</v>
          </cell>
          <cell r="C987">
            <v>0</v>
          </cell>
          <cell r="D987">
            <v>157</v>
          </cell>
        </row>
        <row r="988">
          <cell r="A988">
            <v>2180927</v>
          </cell>
          <cell r="B988" t="str">
            <v>CPU Intel Core 2 Duo E4500 / FSB800 / 775</v>
          </cell>
          <cell r="C988">
            <v>0</v>
          </cell>
          <cell r="D988">
            <v>80</v>
          </cell>
        </row>
        <row r="989">
          <cell r="A989">
            <v>2180932</v>
          </cell>
          <cell r="B989" t="str">
            <v>CPU Intel Pentium Dual-Core E2160 / FSB800 / 775**</v>
          </cell>
          <cell r="C989">
            <v>0</v>
          </cell>
          <cell r="D989">
            <v>36</v>
          </cell>
        </row>
        <row r="990">
          <cell r="A990">
            <v>2180938</v>
          </cell>
          <cell r="B990" t="str">
            <v>CPU Intel XEON E5405/2.0 GHz/FSB1333/12MB Aktiv</v>
          </cell>
          <cell r="C990">
            <v>0</v>
          </cell>
          <cell r="D990">
            <v>159</v>
          </cell>
        </row>
        <row r="991">
          <cell r="A991">
            <v>2180939</v>
          </cell>
          <cell r="B991" t="str">
            <v>CPU Intel XEON E5410/2.33 GHz/FSB1333/12MB Aktiv</v>
          </cell>
          <cell r="C991">
            <v>0</v>
          </cell>
          <cell r="D991">
            <v>218</v>
          </cell>
        </row>
        <row r="992">
          <cell r="A992">
            <v>2180940</v>
          </cell>
          <cell r="B992" t="str">
            <v>CPU Intel XEON E5420/2.5 GHz/FSB1333/12MB Aktiv</v>
          </cell>
          <cell r="C992">
            <v>0</v>
          </cell>
          <cell r="D992">
            <v>258</v>
          </cell>
        </row>
        <row r="993">
          <cell r="A993">
            <v>2180946</v>
          </cell>
          <cell r="B993" t="str">
            <v>CPU Intel XEON E5405/2.0 GHz/FSB1333/12MB Passiv</v>
          </cell>
          <cell r="C993">
            <v>0</v>
          </cell>
          <cell r="D993">
            <v>185</v>
          </cell>
        </row>
        <row r="994">
          <cell r="A994">
            <v>2180947</v>
          </cell>
          <cell r="B994" t="str">
            <v>CPU Intel XEON E5410/2.33 GHz/FSB1333/12MB Pas.</v>
          </cell>
          <cell r="C994">
            <v>0</v>
          </cell>
          <cell r="D994">
            <v>215</v>
          </cell>
        </row>
        <row r="995">
          <cell r="A995">
            <v>2180948</v>
          </cell>
          <cell r="B995" t="str">
            <v>CPU Intel XEON E5420/2.5 GHz/FSB1333/12MB Pas.</v>
          </cell>
          <cell r="C995">
            <v>0</v>
          </cell>
          <cell r="D995">
            <v>265</v>
          </cell>
        </row>
        <row r="996">
          <cell r="A996">
            <v>2180954</v>
          </cell>
          <cell r="B996" t="str">
            <v>CPU Intel XEON SP 3065/2.33 GHz/FSB1333/4MB Box</v>
          </cell>
          <cell r="C996">
            <v>0</v>
          </cell>
          <cell r="D996">
            <v>128</v>
          </cell>
        </row>
        <row r="997">
          <cell r="A997">
            <v>2180958</v>
          </cell>
          <cell r="B997" t="str">
            <v>CPU Intel Core 2 Duo E4600 / FSB800 / 775</v>
          </cell>
          <cell r="C997">
            <v>0</v>
          </cell>
          <cell r="D997">
            <v>101.5</v>
          </cell>
        </row>
        <row r="998">
          <cell r="A998">
            <v>2180961</v>
          </cell>
          <cell r="B998" t="str">
            <v>NB CPU Intel T7600 / FSB667 /Core 2 Duo Sockel P</v>
          </cell>
          <cell r="C998">
            <v>0</v>
          </cell>
          <cell r="D998">
            <v>495</v>
          </cell>
        </row>
        <row r="999">
          <cell r="A999">
            <v>2180969</v>
          </cell>
          <cell r="B999" t="str">
            <v>CPU Intel Core 2 Quad Q9300 Box</v>
          </cell>
          <cell r="C999">
            <v>0</v>
          </cell>
          <cell r="D999">
            <v>170</v>
          </cell>
        </row>
        <row r="1000">
          <cell r="A1000">
            <v>2180971</v>
          </cell>
          <cell r="B1000" t="str">
            <v>CPU Intel Core 2 Quad Q9550 Box ***</v>
          </cell>
          <cell r="C1000">
            <v>0</v>
          </cell>
          <cell r="D1000">
            <v>214.5</v>
          </cell>
        </row>
        <row r="1001">
          <cell r="A1001">
            <v>2180974</v>
          </cell>
          <cell r="B1001" t="str">
            <v>CPU Intel Core 2 Quad Q9550</v>
          </cell>
          <cell r="C1001">
            <v>0</v>
          </cell>
          <cell r="D1001">
            <v>165</v>
          </cell>
        </row>
        <row r="1002">
          <cell r="A1002">
            <v>2180975</v>
          </cell>
          <cell r="B1002" t="str">
            <v>CPU Intel Core 2 Duo E8200 / FSB1333 / 775</v>
          </cell>
          <cell r="C1002">
            <v>0</v>
          </cell>
          <cell r="D1002">
            <v>124</v>
          </cell>
        </row>
        <row r="1003">
          <cell r="A1003">
            <v>2180976</v>
          </cell>
          <cell r="B1003" t="str">
            <v>Prozessor Intel E8400 Core 2 Duo</v>
          </cell>
          <cell r="C1003">
            <v>0</v>
          </cell>
          <cell r="D1003">
            <v>120</v>
          </cell>
        </row>
        <row r="1004">
          <cell r="A1004">
            <v>2180977</v>
          </cell>
          <cell r="B1004" t="str">
            <v>CPU Intel Core 2 Duo E8500 / FSB1333 / 775</v>
          </cell>
          <cell r="C1004">
            <v>0</v>
          </cell>
          <cell r="D1004">
            <v>140</v>
          </cell>
        </row>
        <row r="1005">
          <cell r="A1005">
            <v>2180979</v>
          </cell>
          <cell r="B1005" t="str">
            <v>CPU Intel Core 2 Duo E8400 / FSB1333 / 775 / Box**</v>
          </cell>
          <cell r="C1005">
            <v>0</v>
          </cell>
          <cell r="D1005">
            <v>124.5</v>
          </cell>
        </row>
        <row r="1006">
          <cell r="A1006">
            <v>2180980</v>
          </cell>
          <cell r="B1006" t="str">
            <v>CPU Intel Core 2 Duo E8500 / FSB1333 / 775 / Box</v>
          </cell>
          <cell r="C1006">
            <v>0</v>
          </cell>
          <cell r="D1006">
            <v>149</v>
          </cell>
        </row>
        <row r="1007">
          <cell r="A1007">
            <v>2180988</v>
          </cell>
          <cell r="B1007" t="str">
            <v>CPU Intel Core 2 Duo E4700 / FSB800 / 775</v>
          </cell>
          <cell r="C1007">
            <v>0</v>
          </cell>
          <cell r="D1007">
            <v>119</v>
          </cell>
        </row>
        <row r="1008">
          <cell r="A1008">
            <v>2180989</v>
          </cell>
          <cell r="B1008" t="str">
            <v>CPU Intel Core 2 Duo E4700 / FSB800 / 775 / Box</v>
          </cell>
          <cell r="C1008">
            <v>0</v>
          </cell>
          <cell r="D1008">
            <v>119</v>
          </cell>
        </row>
        <row r="1009">
          <cell r="A1009">
            <v>2181006</v>
          </cell>
          <cell r="B1009" t="str">
            <v>CPU Intel XEON SP X3320/2.5 GHz/FSB1333/6MB Box</v>
          </cell>
          <cell r="C1009">
            <v>0</v>
          </cell>
          <cell r="D1009">
            <v>198</v>
          </cell>
        </row>
        <row r="1010">
          <cell r="A1010">
            <v>2181008</v>
          </cell>
          <cell r="B1010" t="str">
            <v>CPU Intel Core 2 Duo E7200 / FSB1066 / 775</v>
          </cell>
          <cell r="C1010">
            <v>0</v>
          </cell>
          <cell r="D1010">
            <v>79</v>
          </cell>
        </row>
        <row r="1011">
          <cell r="A1011">
            <v>2181012</v>
          </cell>
          <cell r="B1011" t="str">
            <v>YY NB CPU Intel T7400 / FSB667 / Core2Duo Sockel P</v>
          </cell>
          <cell r="C1011">
            <v>0</v>
          </cell>
          <cell r="D1011">
            <v>269</v>
          </cell>
        </row>
        <row r="1012">
          <cell r="A1012">
            <v>2181015</v>
          </cell>
          <cell r="B1012" t="str">
            <v>CPU Intel XEON SP X3220/2.4 GHz/FSB1066/8MB Tray</v>
          </cell>
          <cell r="C1012">
            <v>0</v>
          </cell>
          <cell r="D1012">
            <v>135</v>
          </cell>
        </row>
        <row r="1013">
          <cell r="A1013">
            <v>2181021</v>
          </cell>
          <cell r="B1013" t="str">
            <v>Prozessor Intel Q9400 Core 2 Quad</v>
          </cell>
          <cell r="C1013">
            <v>337</v>
          </cell>
          <cell r="D1013">
            <v>159</v>
          </cell>
        </row>
        <row r="1014">
          <cell r="A1014">
            <v>2181022</v>
          </cell>
          <cell r="B1014" t="str">
            <v>CPU Intel XEON SP E3110/3.0 GHz/FSB1333/6MB Box</v>
          </cell>
          <cell r="C1014">
            <v>0</v>
          </cell>
          <cell r="D1014">
            <v>188</v>
          </cell>
        </row>
        <row r="1015">
          <cell r="A1015">
            <v>2181023</v>
          </cell>
          <cell r="B1015" t="str">
            <v>CPU Intel XEON E5420/2.5 GHz/FSB1333/12MB Tray</v>
          </cell>
          <cell r="C1015">
            <v>0</v>
          </cell>
          <cell r="D1015">
            <v>225</v>
          </cell>
        </row>
        <row r="1016">
          <cell r="A1016">
            <v>2181025</v>
          </cell>
          <cell r="B1016" t="str">
            <v>CPU Intel Core 2 Duo E8600 / FSB1333 / 775</v>
          </cell>
          <cell r="C1016">
            <v>0</v>
          </cell>
          <cell r="D1016">
            <v>205</v>
          </cell>
        </row>
        <row r="1017">
          <cell r="A1017">
            <v>2181032</v>
          </cell>
          <cell r="B1017" t="str">
            <v>CPU Intel Pentium Dual-Core E5200 / FSB800 / 775</v>
          </cell>
          <cell r="C1017">
            <v>0</v>
          </cell>
          <cell r="D1017">
            <v>39</v>
          </cell>
        </row>
        <row r="1018">
          <cell r="A1018">
            <v>2181034</v>
          </cell>
          <cell r="B1018" t="str">
            <v>CPU Intel Core 2 Duo E7300 / FSB1066 / 775</v>
          </cell>
          <cell r="C1018">
            <v>0</v>
          </cell>
          <cell r="D1018">
            <v>89</v>
          </cell>
        </row>
        <row r="1019">
          <cell r="A1019">
            <v>2181038</v>
          </cell>
          <cell r="B1019" t="str">
            <v>CPU Intel Core 2 Quad Q9400 Box</v>
          </cell>
          <cell r="C1019">
            <v>0</v>
          </cell>
          <cell r="D1019">
            <v>139</v>
          </cell>
        </row>
        <row r="1020">
          <cell r="A1020">
            <v>2181040</v>
          </cell>
          <cell r="B1020" t="str">
            <v>CPU Intel Core 2 Quad Q8200</v>
          </cell>
          <cell r="C1020">
            <v>0</v>
          </cell>
          <cell r="D1020">
            <v>97.5</v>
          </cell>
        </row>
        <row r="1021">
          <cell r="A1021">
            <v>2181041</v>
          </cell>
          <cell r="B1021" t="str">
            <v>CPU Intel Core 2 Quad Q8200 Box</v>
          </cell>
          <cell r="C1021">
            <v>0</v>
          </cell>
          <cell r="D1021">
            <v>104</v>
          </cell>
        </row>
        <row r="1022">
          <cell r="A1022">
            <v>2181046</v>
          </cell>
          <cell r="B1022" t="str">
            <v>CPU Intel Core i7-920 / LGA1366 / Box</v>
          </cell>
          <cell r="C1022">
            <v>0</v>
          </cell>
          <cell r="D1022">
            <v>195</v>
          </cell>
        </row>
        <row r="1023">
          <cell r="A1023">
            <v>2181059</v>
          </cell>
          <cell r="B1023" t="str">
            <v>CPU Intel Core 2 Duo E7400 / FSB1066 / 775</v>
          </cell>
          <cell r="C1023">
            <v>0</v>
          </cell>
          <cell r="D1023">
            <v>79</v>
          </cell>
        </row>
        <row r="1024">
          <cell r="A1024">
            <v>2181060</v>
          </cell>
          <cell r="B1024" t="str">
            <v>CPU Intel Core 2 Duo E7400 / FSB1066 / 775 / Box</v>
          </cell>
          <cell r="C1024">
            <v>0</v>
          </cell>
          <cell r="D1024">
            <v>82.5</v>
          </cell>
        </row>
        <row r="1025">
          <cell r="A1025">
            <v>2181064</v>
          </cell>
          <cell r="B1025" t="str">
            <v>CPU Intel XEON SP X3330/2.66 GHz/FSB1333/6MB Box</v>
          </cell>
          <cell r="C1025">
            <v>0</v>
          </cell>
          <cell r="D1025">
            <v>168.3</v>
          </cell>
        </row>
        <row r="1026">
          <cell r="A1026">
            <v>2181065</v>
          </cell>
          <cell r="B1026" t="str">
            <v>CPU Intel XEON SP X3370/3.0 GHz/FSB1333/12MB Box</v>
          </cell>
          <cell r="C1026">
            <v>0</v>
          </cell>
          <cell r="D1026">
            <v>275</v>
          </cell>
        </row>
        <row r="1027">
          <cell r="A1027">
            <v>2181066</v>
          </cell>
          <cell r="B1027" t="str">
            <v>CPU Intel XEON SP E3110/3.0 GHz/FSB1333/6MB Tray</v>
          </cell>
          <cell r="C1027">
            <v>0</v>
          </cell>
          <cell r="D1027">
            <v>145</v>
          </cell>
        </row>
        <row r="1028">
          <cell r="A1028">
            <v>2181071</v>
          </cell>
          <cell r="B1028" t="str">
            <v>CPU Intel XEON E5506/2.13 GHz/4.8GT/sec./4MB</v>
          </cell>
          <cell r="C1028">
            <v>0</v>
          </cell>
          <cell r="D1028">
            <v>189</v>
          </cell>
        </row>
        <row r="1029">
          <cell r="A1029">
            <v>2181072</v>
          </cell>
          <cell r="B1029" t="str">
            <v>CPU Intel XEON E5520/2.26 GHz/5.86GT/sec./8MB</v>
          </cell>
          <cell r="C1029">
            <v>0</v>
          </cell>
          <cell r="D1029">
            <v>325</v>
          </cell>
        </row>
        <row r="1030">
          <cell r="A1030">
            <v>2181080</v>
          </cell>
          <cell r="B1030" t="str">
            <v>Prozessor Intel Core 2 Duo E7500</v>
          </cell>
          <cell r="C1030">
            <v>0</v>
          </cell>
          <cell r="D1030">
            <v>89</v>
          </cell>
        </row>
        <row r="1031">
          <cell r="A1031">
            <v>2181081</v>
          </cell>
          <cell r="B1031" t="str">
            <v>Prozessor Intel Core 2 Duo E7500 Boxed</v>
          </cell>
          <cell r="C1031">
            <v>3</v>
          </cell>
          <cell r="D1031">
            <v>132</v>
          </cell>
        </row>
        <row r="1032">
          <cell r="A1032">
            <v>2181082</v>
          </cell>
          <cell r="B1032" t="str">
            <v>CPU Intel Core 2 Quad Q8400 Box</v>
          </cell>
          <cell r="C1032">
            <v>0</v>
          </cell>
          <cell r="D1032">
            <v>114.5</v>
          </cell>
        </row>
        <row r="1033">
          <cell r="A1033">
            <v>2181084</v>
          </cell>
          <cell r="B1033" t="str">
            <v>CPU Intel Pentium Dual-Core E5300 / FSB800 / Box</v>
          </cell>
          <cell r="C1033">
            <v>0</v>
          </cell>
          <cell r="D1033">
            <v>48</v>
          </cell>
        </row>
        <row r="1034">
          <cell r="A1034">
            <v>2181086</v>
          </cell>
          <cell r="B1034" t="str">
            <v>CPU Intel Pentium Dual-Core E6300 / FSB1066 / Box</v>
          </cell>
          <cell r="C1034">
            <v>0</v>
          </cell>
          <cell r="D1034">
            <v>57.5</v>
          </cell>
        </row>
        <row r="1035">
          <cell r="A1035">
            <v>2181099</v>
          </cell>
          <cell r="B1035" t="str">
            <v>CPU Intel Core 2 Quad Q8300 Box</v>
          </cell>
          <cell r="C1035">
            <v>0</v>
          </cell>
          <cell r="D1035">
            <v>131.38</v>
          </cell>
        </row>
        <row r="1036">
          <cell r="A1036">
            <v>2181105</v>
          </cell>
          <cell r="B1036" t="str">
            <v>CPU Intel Core i5-750 / LGA1156 / Box</v>
          </cell>
          <cell r="C1036">
            <v>0</v>
          </cell>
          <cell r="D1036">
            <v>152</v>
          </cell>
        </row>
        <row r="1037">
          <cell r="A1037">
            <v>2181109</v>
          </cell>
          <cell r="B1037" t="str">
            <v>CPU Intel Core i7-860 / LGA1156 / Box</v>
          </cell>
          <cell r="C1037">
            <v>0</v>
          </cell>
          <cell r="D1037">
            <v>150</v>
          </cell>
        </row>
        <row r="1038">
          <cell r="A1038">
            <v>2181110</v>
          </cell>
          <cell r="B1038" t="str">
            <v>Prozessor Intel Core i7-870 Box</v>
          </cell>
          <cell r="C1038">
            <v>0</v>
          </cell>
          <cell r="D1038">
            <v>244.5</v>
          </cell>
        </row>
        <row r="1039">
          <cell r="A1039">
            <v>2181111</v>
          </cell>
          <cell r="B1039" t="str">
            <v>CPU Intel Xeon SP X3430 / LGA1156 / Box</v>
          </cell>
          <cell r="C1039">
            <v>0</v>
          </cell>
          <cell r="D1039">
            <v>50</v>
          </cell>
        </row>
        <row r="1040">
          <cell r="A1040">
            <v>2181122</v>
          </cell>
          <cell r="B1040" t="str">
            <v>CPU Intel Core i5-750 / LGA1156 ***</v>
          </cell>
          <cell r="C1040">
            <v>0</v>
          </cell>
          <cell r="D1040">
            <v>149.5</v>
          </cell>
        </row>
        <row r="1041">
          <cell r="A1041">
            <v>2181130</v>
          </cell>
          <cell r="B1041" t="str">
            <v>CPU Intel XEON E5520/2.26 GHz/5.86GT/sec./8MB/TRAY</v>
          </cell>
          <cell r="C1041">
            <v>0</v>
          </cell>
          <cell r="D1041">
            <v>318</v>
          </cell>
        </row>
        <row r="1042">
          <cell r="A1042">
            <v>2181131</v>
          </cell>
          <cell r="B1042" t="str">
            <v>CPU Intel Core i3-530 / LGA1156 / Box</v>
          </cell>
          <cell r="C1042">
            <v>0</v>
          </cell>
          <cell r="D1042">
            <v>95.5</v>
          </cell>
        </row>
        <row r="1043">
          <cell r="A1043">
            <v>2181132</v>
          </cell>
          <cell r="B1043" t="str">
            <v>Prozessor Intel Core i3-540 Box</v>
          </cell>
          <cell r="C1043">
            <v>0</v>
          </cell>
          <cell r="D1043">
            <v>77</v>
          </cell>
        </row>
        <row r="1044">
          <cell r="A1044">
            <v>2181133</v>
          </cell>
          <cell r="B1044" t="str">
            <v>CPU Intel Core i5-650 / LGA1156 / Box</v>
          </cell>
          <cell r="C1044">
            <v>0</v>
          </cell>
          <cell r="D1044">
            <v>130.9</v>
          </cell>
        </row>
        <row r="1045">
          <cell r="A1045">
            <v>2181134</v>
          </cell>
          <cell r="B1045" t="str">
            <v>Prozessor Intel Core i5-660 Box</v>
          </cell>
          <cell r="C1045">
            <v>0</v>
          </cell>
          <cell r="D1045">
            <v>145</v>
          </cell>
        </row>
        <row r="1046">
          <cell r="A1046">
            <v>2181138</v>
          </cell>
          <cell r="B1046" t="str">
            <v>CPU Intel XEON SP X3330/2.66 GHz/FSB1333/6MB Tray</v>
          </cell>
          <cell r="C1046">
            <v>0</v>
          </cell>
          <cell r="D1046">
            <v>158</v>
          </cell>
        </row>
        <row r="1047">
          <cell r="A1047">
            <v>2181159</v>
          </cell>
          <cell r="B1047" t="str">
            <v>CPU Intel XEON E5620/4x2.4 GHz/5.86GT/s/12 MB</v>
          </cell>
          <cell r="C1047">
            <v>0</v>
          </cell>
          <cell r="D1047">
            <v>308.66000000000003</v>
          </cell>
        </row>
        <row r="1048">
          <cell r="A1048">
            <v>2181167</v>
          </cell>
          <cell r="B1048" t="str">
            <v>YY CPU Intel Core i3-540 / LGA1156 ***</v>
          </cell>
          <cell r="C1048">
            <v>0</v>
          </cell>
          <cell r="D1048">
            <v>60</v>
          </cell>
        </row>
        <row r="1049">
          <cell r="A1049">
            <v>2181184</v>
          </cell>
          <cell r="B1049" t="str">
            <v>CPU Intel XEON E5620/4x2.4 GHz/5.86GT/s/12 MB/TRAY</v>
          </cell>
          <cell r="C1049">
            <v>0</v>
          </cell>
          <cell r="D1049">
            <v>198</v>
          </cell>
        </row>
        <row r="1050">
          <cell r="A1050">
            <v>2181186</v>
          </cell>
          <cell r="B1050" t="str">
            <v>Intel Core i5-760/Quad 2.80 GHz/Lynnfield/8MB</v>
          </cell>
          <cell r="C1050">
            <v>0</v>
          </cell>
          <cell r="D1050">
            <v>164</v>
          </cell>
        </row>
        <row r="1051">
          <cell r="A1051">
            <v>2181189</v>
          </cell>
          <cell r="B1051" t="str">
            <v>CPU Intel Xeon SP L3403 / LGA1156 / Tray</v>
          </cell>
          <cell r="C1051">
            <v>0</v>
          </cell>
          <cell r="D1051">
            <v>138</v>
          </cell>
        </row>
        <row r="1052">
          <cell r="A1052">
            <v>2181199</v>
          </cell>
          <cell r="B1052" t="str">
            <v>CPU Intel Core i3-550 / LGA1156</v>
          </cell>
          <cell r="C1052">
            <v>0</v>
          </cell>
          <cell r="D1052">
            <v>85.5</v>
          </cell>
        </row>
        <row r="1053">
          <cell r="A1053">
            <v>2181207</v>
          </cell>
          <cell r="B1053" t="str">
            <v>CPU Intel Core i3-550 / LGA1156 / Box</v>
          </cell>
          <cell r="C1053">
            <v>0</v>
          </cell>
          <cell r="D1053">
            <v>0</v>
          </cell>
        </row>
        <row r="1054">
          <cell r="A1054">
            <v>2181208</v>
          </cell>
          <cell r="B1054" t="str">
            <v>CPU Intel Pentium Dual-Core E5700 / PC-Produktion</v>
          </cell>
          <cell r="C1054">
            <v>0</v>
          </cell>
          <cell r="D1054">
            <v>39</v>
          </cell>
        </row>
        <row r="1055">
          <cell r="A1055">
            <v>2181218</v>
          </cell>
          <cell r="B1055" t="str">
            <v>Prozessor Intel Core i7-2600 (Boxed mit Lüfter)</v>
          </cell>
          <cell r="C1055">
            <v>23</v>
          </cell>
          <cell r="D1055">
            <v>235</v>
          </cell>
        </row>
        <row r="1056">
          <cell r="A1056">
            <v>2181226</v>
          </cell>
          <cell r="B1056" t="str">
            <v>CPU Intel Pentium Dual-Core E5800 / PC-Produktion</v>
          </cell>
          <cell r="C1056">
            <v>0</v>
          </cell>
          <cell r="D1056">
            <v>42.2</v>
          </cell>
        </row>
        <row r="1057">
          <cell r="A1057">
            <v>2181229</v>
          </cell>
          <cell r="B1057" t="str">
            <v>CPU Intel Pentium Dual-Core E5800 / FSB800 / 775</v>
          </cell>
          <cell r="C1057">
            <v>0</v>
          </cell>
          <cell r="D1057">
            <v>44.5</v>
          </cell>
        </row>
        <row r="1058">
          <cell r="A1058">
            <v>2181233</v>
          </cell>
          <cell r="B1058" t="str">
            <v>Intel Core i3-560/Dual 3.33 GHz/Clarkdale</v>
          </cell>
          <cell r="C1058">
            <v>0</v>
          </cell>
          <cell r="D1058">
            <v>95</v>
          </cell>
        </row>
        <row r="1059">
          <cell r="A1059">
            <v>2181248</v>
          </cell>
          <cell r="B1059" t="str">
            <v>CPU Intel Core i3-2120 / LGA1155 / Box</v>
          </cell>
          <cell r="C1059">
            <v>2</v>
          </cell>
          <cell r="D1059">
            <v>89.9</v>
          </cell>
        </row>
        <row r="1060">
          <cell r="A1060">
            <v>2181249</v>
          </cell>
          <cell r="B1060" t="str">
            <v>CPU Intel Core i5-2300 / LGA1155</v>
          </cell>
          <cell r="C1060">
            <v>0</v>
          </cell>
          <cell r="D1060">
            <v>129.5</v>
          </cell>
        </row>
        <row r="1061">
          <cell r="A1061">
            <v>2181252</v>
          </cell>
          <cell r="B1061" t="str">
            <v>Prozessor Intel Core i7-2600 Tray</v>
          </cell>
          <cell r="C1061">
            <v>51</v>
          </cell>
          <cell r="D1061">
            <v>229</v>
          </cell>
        </row>
        <row r="1062">
          <cell r="A1062">
            <v>2181257</v>
          </cell>
          <cell r="B1062" t="str">
            <v>CPU Intel Core i3-2100 / LGA1155</v>
          </cell>
          <cell r="C1062">
            <v>0</v>
          </cell>
          <cell r="D1062">
            <v>74.2</v>
          </cell>
        </row>
        <row r="1063">
          <cell r="A1063">
            <v>2181290</v>
          </cell>
          <cell r="B1063" t="str">
            <v>NB CPU Intel Core i3-2330M S1155/2,2GHz/Sandy</v>
          </cell>
          <cell r="C1063">
            <v>0</v>
          </cell>
          <cell r="D1063">
            <v>90</v>
          </cell>
        </row>
        <row r="1064">
          <cell r="A1064">
            <v>2181291</v>
          </cell>
          <cell r="B1064" t="str">
            <v>NB CPU Intel Core i5-2430M PPGA988/2,4GHz/Sandy***</v>
          </cell>
          <cell r="C1064">
            <v>0</v>
          </cell>
          <cell r="D1064">
            <v>129</v>
          </cell>
        </row>
        <row r="1065">
          <cell r="A1065">
            <v>2181295</v>
          </cell>
          <cell r="B1065" t="str">
            <v>CPU Intel Core i5-2310 / LGA1155</v>
          </cell>
          <cell r="C1065">
            <v>0</v>
          </cell>
          <cell r="D1065">
            <v>121</v>
          </cell>
        </row>
        <row r="1066">
          <cell r="A1066">
            <v>2181316</v>
          </cell>
          <cell r="B1066" t="str">
            <v>Prozessor Intel Core i3-2350M</v>
          </cell>
          <cell r="C1066">
            <v>0</v>
          </cell>
          <cell r="D1066">
            <v>93.5</v>
          </cell>
        </row>
        <row r="1067">
          <cell r="A1067">
            <v>2181317</v>
          </cell>
          <cell r="B1067" t="str">
            <v>Prozessor Intel Core i5-2450M</v>
          </cell>
          <cell r="C1067">
            <v>2</v>
          </cell>
          <cell r="D1067">
            <v>139</v>
          </cell>
        </row>
        <row r="1068">
          <cell r="A1068">
            <v>2181319</v>
          </cell>
          <cell r="B1068" t="str">
            <v>CPU Celeron B815 1.6GHz Tray PPGA988</v>
          </cell>
          <cell r="C1068">
            <v>0</v>
          </cell>
          <cell r="D1068">
            <v>19</v>
          </cell>
        </row>
        <row r="1069">
          <cell r="A1069">
            <v>2181323</v>
          </cell>
          <cell r="B1069" t="str">
            <v>CPU Intel Core i7-3770K Boxed</v>
          </cell>
          <cell r="C1069">
            <v>0</v>
          </cell>
          <cell r="D1069">
            <v>249</v>
          </cell>
        </row>
        <row r="1070">
          <cell r="A1070">
            <v>2181324</v>
          </cell>
          <cell r="B1070" t="str">
            <v>CPU Core i7-3770 3.40GHz Boxed LGA1155</v>
          </cell>
          <cell r="C1070">
            <v>11</v>
          </cell>
          <cell r="D1070">
            <v>215</v>
          </cell>
        </row>
        <row r="1071">
          <cell r="A1071">
            <v>2181329</v>
          </cell>
          <cell r="B1071" t="str">
            <v>Prozessor Intel XEON E5-2609 4x2.4GHz 10MB</v>
          </cell>
          <cell r="C1071">
            <v>0</v>
          </cell>
          <cell r="D1071">
            <v>239</v>
          </cell>
        </row>
        <row r="1072">
          <cell r="A1072">
            <v>2181341</v>
          </cell>
          <cell r="B1072" t="str">
            <v>CPU Core i5-3210M 2.5GHz Tray PPGA988B</v>
          </cell>
          <cell r="C1072">
            <v>17</v>
          </cell>
          <cell r="D1072">
            <v>118</v>
          </cell>
        </row>
        <row r="1073">
          <cell r="A1073">
            <v>2181346</v>
          </cell>
          <cell r="B1073" t="str">
            <v>NB CPU Intel Core i3-3110M PPGA988/2,4GHz/Ivy**</v>
          </cell>
          <cell r="C1073">
            <v>19</v>
          </cell>
          <cell r="D1073">
            <v>98</v>
          </cell>
        </row>
        <row r="1074">
          <cell r="A1074">
            <v>2181347</v>
          </cell>
          <cell r="B1074" t="str">
            <v>CPU Core i3-2370M 2.4GHz Tray PPGA988</v>
          </cell>
          <cell r="C1074">
            <v>11</v>
          </cell>
          <cell r="D1074">
            <v>93.5</v>
          </cell>
        </row>
        <row r="1075">
          <cell r="A1075">
            <v>2181350</v>
          </cell>
          <cell r="B1075" t="str">
            <v>Prozessor Intel Core i5-3470</v>
          </cell>
          <cell r="C1075">
            <v>0</v>
          </cell>
          <cell r="D1075">
            <v>142</v>
          </cell>
        </row>
        <row r="1076">
          <cell r="A1076">
            <v>2181351</v>
          </cell>
          <cell r="B1076" t="str">
            <v>CPU Core i5-3570 3.40GHz Boxed LGA1155</v>
          </cell>
          <cell r="C1076">
            <v>20</v>
          </cell>
          <cell r="D1076">
            <v>151.9</v>
          </cell>
        </row>
        <row r="1077">
          <cell r="A1077">
            <v>2181360</v>
          </cell>
          <cell r="B1077" t="str">
            <v>CPU Core i3-3220 3,30GHz Boxed LGA1155</v>
          </cell>
          <cell r="C1077">
            <v>28</v>
          </cell>
          <cell r="D1077">
            <v>108</v>
          </cell>
        </row>
        <row r="1078">
          <cell r="A1078">
            <v>2181400</v>
          </cell>
          <cell r="B1078" t="str">
            <v>NB CPU Intel Core i5-3230M, 6GHz/Ivy</v>
          </cell>
          <cell r="C1078">
            <v>0</v>
          </cell>
          <cell r="D1078">
            <v>135.5</v>
          </cell>
        </row>
        <row r="1079">
          <cell r="A1079">
            <v>2181408</v>
          </cell>
          <cell r="B1079" t="str">
            <v>CPU Core i5-3550S 3,70GHz Tray LGA1155</v>
          </cell>
          <cell r="C1079">
            <v>35</v>
          </cell>
          <cell r="D1079">
            <v>151</v>
          </cell>
        </row>
        <row r="1080">
          <cell r="A1080">
            <v>2189000</v>
          </cell>
          <cell r="B1080" t="str">
            <v>CPU Intel Pentium Dual-Core E5400 / PC-Produktion</v>
          </cell>
          <cell r="C1080">
            <v>0</v>
          </cell>
          <cell r="D1080">
            <v>37</v>
          </cell>
        </row>
        <row r="1081">
          <cell r="A1081">
            <v>2190104</v>
          </cell>
          <cell r="B1081" t="str">
            <v>Vortex SIMM kompat. RZ128MB/PC133/ECC/SD-RAM</v>
          </cell>
          <cell r="C1081">
            <v>0</v>
          </cell>
          <cell r="D1081">
            <v>52</v>
          </cell>
        </row>
        <row r="1082">
          <cell r="A1082">
            <v>2190105</v>
          </cell>
          <cell r="B1082" t="str">
            <v>Vortex SIMM kompat. RZ 256MB/PC133/ECC/SD-RAM</v>
          </cell>
          <cell r="C1082">
            <v>0</v>
          </cell>
          <cell r="D1082">
            <v>79</v>
          </cell>
        </row>
        <row r="1083">
          <cell r="A1083">
            <v>2190250</v>
          </cell>
          <cell r="B1083" t="str">
            <v>SIMM DDR 256MB/PC400/Infineon</v>
          </cell>
          <cell r="C1083">
            <v>0</v>
          </cell>
          <cell r="D1083">
            <v>15</v>
          </cell>
        </row>
        <row r="1084">
          <cell r="A1084">
            <v>2190256</v>
          </cell>
          <cell r="B1084" t="str">
            <v>RAM DDR 512MB / PC400 / takeMS***</v>
          </cell>
          <cell r="C1084">
            <v>0</v>
          </cell>
          <cell r="D1084">
            <v>12.9</v>
          </cell>
        </row>
        <row r="1085">
          <cell r="A1085">
            <v>2190257</v>
          </cell>
          <cell r="B1085" t="str">
            <v>RAM DDR  1GB / PC400 / takeMS</v>
          </cell>
          <cell r="C1085">
            <v>0</v>
          </cell>
          <cell r="D1085">
            <v>21.5</v>
          </cell>
        </row>
        <row r="1086">
          <cell r="A1086">
            <v>2190261</v>
          </cell>
          <cell r="B1086" t="str">
            <v>RAM DDR 512MB / PC400 / Samsung</v>
          </cell>
          <cell r="C1086">
            <v>0</v>
          </cell>
          <cell r="D1086">
            <v>19.5</v>
          </cell>
        </row>
        <row r="1087">
          <cell r="A1087">
            <v>2190270</v>
          </cell>
          <cell r="B1087" t="str">
            <v>MEM 2GB DDR/PC266 ECC/IC</v>
          </cell>
          <cell r="C1087">
            <v>0</v>
          </cell>
          <cell r="D1087">
            <v>550</v>
          </cell>
        </row>
        <row r="1088">
          <cell r="A1088">
            <v>2190271</v>
          </cell>
          <cell r="B1088" t="str">
            <v>MEM 1GB DDR/PC266 ECC/IC</v>
          </cell>
          <cell r="C1088">
            <v>0</v>
          </cell>
          <cell r="D1088">
            <v>135</v>
          </cell>
        </row>
        <row r="1089">
          <cell r="A1089">
            <v>2190272</v>
          </cell>
          <cell r="B1089" t="str">
            <v>SIMM DDR REG 512MB/PC266/ECC/TRS/IC</v>
          </cell>
          <cell r="C1089">
            <v>0</v>
          </cell>
          <cell r="D1089">
            <v>85</v>
          </cell>
        </row>
        <row r="1090">
          <cell r="A1090">
            <v>2190350</v>
          </cell>
          <cell r="B1090" t="str">
            <v>MEM 1GB DDR/PC400</v>
          </cell>
          <cell r="C1090">
            <v>0</v>
          </cell>
          <cell r="D1090">
            <v>27.5</v>
          </cell>
        </row>
        <row r="1091">
          <cell r="A1091">
            <v>2190354</v>
          </cell>
          <cell r="B1091" t="str">
            <v>MEM 1GB DDR/PC400</v>
          </cell>
          <cell r="C1091">
            <v>0</v>
          </cell>
          <cell r="D1091">
            <v>26.5</v>
          </cell>
        </row>
        <row r="1092">
          <cell r="A1092">
            <v>2190355</v>
          </cell>
          <cell r="B1092" t="str">
            <v>RAM DDR  1GB / PC400 / Hynix</v>
          </cell>
          <cell r="C1092">
            <v>0</v>
          </cell>
          <cell r="D1092">
            <v>33.5</v>
          </cell>
        </row>
        <row r="1093">
          <cell r="A1093">
            <v>2190356</v>
          </cell>
          <cell r="B1093" t="str">
            <v>RAM DDR 512MB / PC400 / Hynix</v>
          </cell>
          <cell r="C1093">
            <v>0</v>
          </cell>
          <cell r="D1093">
            <v>11.9</v>
          </cell>
        </row>
        <row r="1094">
          <cell r="A1094">
            <v>2190444</v>
          </cell>
          <cell r="B1094" t="str">
            <v>SIMM DDR 512MB/PC400/Infineon</v>
          </cell>
          <cell r="C1094">
            <v>0</v>
          </cell>
          <cell r="D1094">
            <v>12.9</v>
          </cell>
        </row>
        <row r="1095">
          <cell r="A1095">
            <v>2190460</v>
          </cell>
          <cell r="B1095" t="str">
            <v>SIMM DDR REG   1GB/PC400/ECC/TRS21231/IC ***</v>
          </cell>
          <cell r="C1095">
            <v>0</v>
          </cell>
          <cell r="D1095">
            <v>129</v>
          </cell>
        </row>
        <row r="1096">
          <cell r="A1096">
            <v>2190510</v>
          </cell>
          <cell r="B1096" t="str">
            <v>SIMM DDR2 REG 512MB/PC400/ECC/Infineon</v>
          </cell>
          <cell r="C1096">
            <v>0</v>
          </cell>
          <cell r="D1096">
            <v>43</v>
          </cell>
        </row>
        <row r="1097">
          <cell r="A1097">
            <v>2190511</v>
          </cell>
          <cell r="B1097" t="str">
            <v>SIMM DDR2 REG  1GB/PC400/ECC/Infineon</v>
          </cell>
          <cell r="C1097">
            <v>0</v>
          </cell>
          <cell r="D1097">
            <v>29</v>
          </cell>
        </row>
        <row r="1098">
          <cell r="A1098">
            <v>2190512</v>
          </cell>
          <cell r="B1098" t="str">
            <v>MEM 2 GB DDR2/PC400/ECC</v>
          </cell>
          <cell r="C1098">
            <v>0</v>
          </cell>
          <cell r="D1098">
            <v>99</v>
          </cell>
        </row>
        <row r="1099">
          <cell r="A1099">
            <v>2190532</v>
          </cell>
          <cell r="B1099" t="str">
            <v>RAM DDR3 REG  2GB / PC1333 / ECC / Hynix</v>
          </cell>
          <cell r="C1099">
            <v>0</v>
          </cell>
          <cell r="D1099">
            <v>62.5</v>
          </cell>
        </row>
        <row r="1100">
          <cell r="A1100">
            <v>2190536</v>
          </cell>
          <cell r="B1100" t="str">
            <v>RAM DDR3 REG  4GB / PC1333 / ECC / Hynix</v>
          </cell>
          <cell r="C1100">
            <v>0</v>
          </cell>
          <cell r="D1100">
            <v>120</v>
          </cell>
        </row>
        <row r="1101">
          <cell r="A1101">
            <v>2190543</v>
          </cell>
          <cell r="B1101" t="str">
            <v>RAM DDR3 REG  2GB / PC1333 / ECC / Hynix (Rx4)</v>
          </cell>
          <cell r="C1101">
            <v>0</v>
          </cell>
          <cell r="D1101">
            <v>65.5</v>
          </cell>
        </row>
        <row r="1102">
          <cell r="A1102">
            <v>2190549</v>
          </cell>
          <cell r="B1102" t="str">
            <v>RAM DDR3 REG  4GB / PC1333 / ECC / Hynix (Rx4)</v>
          </cell>
          <cell r="C1102">
            <v>0</v>
          </cell>
          <cell r="D1102">
            <v>95</v>
          </cell>
        </row>
        <row r="1103">
          <cell r="A1103">
            <v>2190550</v>
          </cell>
          <cell r="B1103" t="str">
            <v>SIMM DDR 256MB/PC400/CL3</v>
          </cell>
          <cell r="C1103">
            <v>0</v>
          </cell>
          <cell r="D1103">
            <v>16</v>
          </cell>
        </row>
        <row r="1104">
          <cell r="A1104">
            <v>2190552</v>
          </cell>
          <cell r="B1104" t="str">
            <v>SIMM DDR 512MB/PC400/CL3</v>
          </cell>
          <cell r="C1104">
            <v>0</v>
          </cell>
          <cell r="D1104">
            <v>33</v>
          </cell>
        </row>
        <row r="1105">
          <cell r="A1105">
            <v>2190561</v>
          </cell>
          <cell r="B1105" t="str">
            <v>RAM DDR3 REG  4GB / PC1333 / ECC / Hynix (Rx8)</v>
          </cell>
          <cell r="C1105">
            <v>0</v>
          </cell>
          <cell r="D1105">
            <v>65</v>
          </cell>
        </row>
        <row r="1106">
          <cell r="A1106">
            <v>2190668</v>
          </cell>
          <cell r="B1106" t="str">
            <v>RAM DDR2   2GB / PC667 / takeMS</v>
          </cell>
          <cell r="C1106">
            <v>0</v>
          </cell>
          <cell r="D1106">
            <v>27</v>
          </cell>
        </row>
        <row r="1107">
          <cell r="A1107">
            <v>2190764</v>
          </cell>
          <cell r="B1107" t="str">
            <v>SIMM DDR2 256MB/PC533/Infineon</v>
          </cell>
          <cell r="C1107">
            <v>0</v>
          </cell>
          <cell r="D1107">
            <v>26</v>
          </cell>
        </row>
        <row r="1108">
          <cell r="A1108">
            <v>2190765</v>
          </cell>
          <cell r="B1108" t="str">
            <v>SIMM DDR2 512MB/PC533/Infineon</v>
          </cell>
          <cell r="C1108">
            <v>0</v>
          </cell>
          <cell r="D1108">
            <v>0</v>
          </cell>
        </row>
        <row r="1109">
          <cell r="A1109">
            <v>2190766</v>
          </cell>
          <cell r="B1109" t="str">
            <v>SIMM DDR2   1GB/PC533/Infineon</v>
          </cell>
          <cell r="C1109">
            <v>0</v>
          </cell>
          <cell r="D1109">
            <v>12</v>
          </cell>
        </row>
        <row r="1110">
          <cell r="A1110">
            <v>2190767</v>
          </cell>
          <cell r="B1110" t="str">
            <v>SIMM DDR2 256MB/PC667/Infineon</v>
          </cell>
          <cell r="C1110">
            <v>0</v>
          </cell>
          <cell r="D1110">
            <v>25.99</v>
          </cell>
        </row>
        <row r="1111">
          <cell r="A1111">
            <v>2190778</v>
          </cell>
          <cell r="B1111" t="str">
            <v>SIMM DDR2 256MB/PC667/Samsung  ***</v>
          </cell>
          <cell r="C1111">
            <v>0</v>
          </cell>
          <cell r="D1111">
            <v>11.5</v>
          </cell>
        </row>
        <row r="1112">
          <cell r="A1112">
            <v>2190779</v>
          </cell>
          <cell r="B1112" t="str">
            <v>RAM DDR2 512MB / PC667 / ECC / Qimonda</v>
          </cell>
          <cell r="C1112">
            <v>0</v>
          </cell>
          <cell r="D1112">
            <v>9.9</v>
          </cell>
        </row>
        <row r="1113">
          <cell r="A1113">
            <v>2190823</v>
          </cell>
          <cell r="B1113" t="str">
            <v>takeMS USB MEM-Drive EASY 2.0 2GB</v>
          </cell>
          <cell r="C1113">
            <v>0</v>
          </cell>
          <cell r="D1113">
            <v>14</v>
          </cell>
        </row>
        <row r="1114">
          <cell r="A1114">
            <v>2190840</v>
          </cell>
          <cell r="B1114" t="str">
            <v>SIMM DDR2 512MB/PC667/Samsung</v>
          </cell>
          <cell r="C1114">
            <v>0</v>
          </cell>
          <cell r="D1114">
            <v>14.5</v>
          </cell>
        </row>
        <row r="1115">
          <cell r="A1115">
            <v>2190841</v>
          </cell>
          <cell r="B1115" t="str">
            <v>SIMM DDR2 1GB/PC667/Samsung</v>
          </cell>
          <cell r="C1115">
            <v>0</v>
          </cell>
          <cell r="D1115">
            <v>15</v>
          </cell>
        </row>
        <row r="1116">
          <cell r="A1116">
            <v>2190843</v>
          </cell>
          <cell r="B1116" t="str">
            <v>SIMM DDR2   1GB/PC667</v>
          </cell>
          <cell r="C1116">
            <v>0</v>
          </cell>
          <cell r="D1116">
            <v>11.78</v>
          </cell>
        </row>
        <row r="1117">
          <cell r="A1117">
            <v>2190844</v>
          </cell>
          <cell r="B1117" t="str">
            <v>RAM DDR2  1GB / PC667 / ECC / Qimonda</v>
          </cell>
          <cell r="C1117">
            <v>0</v>
          </cell>
          <cell r="D1117">
            <v>16.5</v>
          </cell>
        </row>
        <row r="1118">
          <cell r="A1118">
            <v>2190846</v>
          </cell>
          <cell r="B1118" t="str">
            <v>RAM DDR2 1 GB / PC800 / Samsung</v>
          </cell>
          <cell r="C1118">
            <v>0</v>
          </cell>
          <cell r="D1118">
            <v>12</v>
          </cell>
        </row>
        <row r="1119">
          <cell r="A1119">
            <v>2190847</v>
          </cell>
          <cell r="B1119" t="str">
            <v>SIMM DDR2 512MB/PC667/Infineon</v>
          </cell>
          <cell r="C1119">
            <v>0</v>
          </cell>
          <cell r="D1119">
            <v>10.8</v>
          </cell>
        </row>
        <row r="1120">
          <cell r="A1120">
            <v>2190848</v>
          </cell>
          <cell r="B1120" t="str">
            <v>RAM DDR2 512MB / PC667 / takeMS</v>
          </cell>
          <cell r="C1120">
            <v>0</v>
          </cell>
          <cell r="D1120">
            <v>7.4</v>
          </cell>
        </row>
        <row r="1121">
          <cell r="A1121">
            <v>2190850</v>
          </cell>
          <cell r="B1121" t="str">
            <v>SIMM DDR2 REG 512MB/PC400/ECC/Samsung</v>
          </cell>
          <cell r="C1121">
            <v>0</v>
          </cell>
          <cell r="D1121">
            <v>52</v>
          </cell>
        </row>
        <row r="1122">
          <cell r="A1122">
            <v>2190855</v>
          </cell>
          <cell r="B1122" t="str">
            <v>SIMM DDR2 FB  2GB/PC667/Fully Buffered/Samsung</v>
          </cell>
          <cell r="C1122">
            <v>0</v>
          </cell>
          <cell r="D1122">
            <v>69</v>
          </cell>
        </row>
        <row r="1123">
          <cell r="A1123">
            <v>2190873</v>
          </cell>
          <cell r="B1123" t="str">
            <v>SIMM DDR2   1GB/PC800/Infineon</v>
          </cell>
          <cell r="C1123">
            <v>0</v>
          </cell>
          <cell r="D1123">
            <v>0</v>
          </cell>
        </row>
        <row r="1124">
          <cell r="A1124">
            <v>2190878</v>
          </cell>
          <cell r="B1124" t="str">
            <v>SIMM DDR2 FB  1GB/PC667/Fully Buffered/Samsung</v>
          </cell>
          <cell r="C1124">
            <v>0</v>
          </cell>
          <cell r="D1124">
            <v>35</v>
          </cell>
        </row>
        <row r="1125">
          <cell r="A1125">
            <v>2190880</v>
          </cell>
          <cell r="B1125" t="str">
            <v>SIMM DDR2 FB 512 MB/PC667/Fully Buffered/Samsung</v>
          </cell>
          <cell r="C1125">
            <v>0</v>
          </cell>
          <cell r="D1125">
            <v>23.46</v>
          </cell>
        </row>
        <row r="1126">
          <cell r="A1126">
            <v>2190884</v>
          </cell>
          <cell r="B1126" t="str">
            <v>RAM DDR2   2GB / PC667 / Samsung</v>
          </cell>
          <cell r="C1126">
            <v>0</v>
          </cell>
          <cell r="D1126">
            <v>36</v>
          </cell>
        </row>
        <row r="1127">
          <cell r="A1127">
            <v>2190886</v>
          </cell>
          <cell r="B1127" t="str">
            <v>SIMM DDR2 512MB/PC533/Samsung</v>
          </cell>
          <cell r="C1127">
            <v>0</v>
          </cell>
          <cell r="D1127">
            <v>23</v>
          </cell>
        </row>
        <row r="1128">
          <cell r="A1128">
            <v>2190892</v>
          </cell>
          <cell r="B1128" t="str">
            <v>RAM DDR2   2GB / PC667 / ECC / Samsung</v>
          </cell>
          <cell r="C1128">
            <v>0</v>
          </cell>
          <cell r="D1128">
            <v>35.5</v>
          </cell>
        </row>
        <row r="1129">
          <cell r="A1129">
            <v>2190927</v>
          </cell>
          <cell r="B1129" t="str">
            <v>RAM DDR2  1GB / PC800 / TakeMS</v>
          </cell>
          <cell r="C1129">
            <v>0</v>
          </cell>
          <cell r="D1129">
            <v>13</v>
          </cell>
        </row>
        <row r="1130">
          <cell r="A1130">
            <v>2190941</v>
          </cell>
          <cell r="B1130" t="str">
            <v>USB Stick 512 MB mit "KARL STORZ" Logo</v>
          </cell>
          <cell r="C1130">
            <v>0</v>
          </cell>
          <cell r="D1130">
            <v>0</v>
          </cell>
        </row>
        <row r="1131">
          <cell r="A1131">
            <v>2190942</v>
          </cell>
          <cell r="B1131" t="str">
            <v>RAM DDR2   2GB / PC667 / Qimonda</v>
          </cell>
          <cell r="C1131">
            <v>0</v>
          </cell>
          <cell r="D1131">
            <v>18.5</v>
          </cell>
        </row>
        <row r="1132">
          <cell r="A1132">
            <v>2190973</v>
          </cell>
          <cell r="B1132" t="str">
            <v>RAM DDR2 Fully Buffered  4GB / PC667 / Samsung</v>
          </cell>
          <cell r="C1132">
            <v>0</v>
          </cell>
          <cell r="D1132">
            <v>92.5</v>
          </cell>
        </row>
        <row r="1133">
          <cell r="A1133">
            <v>2190991</v>
          </cell>
          <cell r="B1133" t="str">
            <v>takeMS USB MEM-Drive Colourline     4GB "SILVER"</v>
          </cell>
          <cell r="C1133">
            <v>0</v>
          </cell>
          <cell r="D1133">
            <v>6.2</v>
          </cell>
        </row>
        <row r="1134">
          <cell r="A1134">
            <v>2191046</v>
          </cell>
          <cell r="B1134" t="str">
            <v>Arbeitsspeicher 2GB DDR2 /PC800/Samsung</v>
          </cell>
          <cell r="C1134">
            <v>585</v>
          </cell>
          <cell r="D1134">
            <v>35</v>
          </cell>
        </row>
        <row r="1135">
          <cell r="A1135">
            <v>2191053</v>
          </cell>
          <cell r="B1135" t="str">
            <v>RAM DDR2  2GB / PC800 / Qimonda</v>
          </cell>
          <cell r="C1135">
            <v>0</v>
          </cell>
          <cell r="D1135">
            <v>21.5</v>
          </cell>
        </row>
        <row r="1136">
          <cell r="A1136">
            <v>2191064</v>
          </cell>
          <cell r="B1136" t="str">
            <v>RAM DDR2 Fully Buffered  2GB / PC667 / Qimonda</v>
          </cell>
          <cell r="C1136">
            <v>0</v>
          </cell>
          <cell r="D1136">
            <v>62.5</v>
          </cell>
        </row>
        <row r="1137">
          <cell r="A1137">
            <v>2191079</v>
          </cell>
          <cell r="B1137" t="str">
            <v>RAM DDR2 Fully Buffered  1GB / PC667 / Qimonda</v>
          </cell>
          <cell r="C1137">
            <v>0</v>
          </cell>
          <cell r="D1137">
            <v>26.5</v>
          </cell>
        </row>
        <row r="1138">
          <cell r="A1138">
            <v>2191092</v>
          </cell>
          <cell r="B1138" t="str">
            <v>RAM DDR3   1GB / PC1333 / Kingston</v>
          </cell>
          <cell r="C1138">
            <v>0</v>
          </cell>
          <cell r="D1138">
            <v>11</v>
          </cell>
        </row>
        <row r="1139">
          <cell r="A1139">
            <v>2191093</v>
          </cell>
          <cell r="B1139" t="str">
            <v>RAM DDR3   2GB / PC1333 / Kingston</v>
          </cell>
          <cell r="C1139">
            <v>0</v>
          </cell>
          <cell r="D1139">
            <v>10.5</v>
          </cell>
        </row>
        <row r="1140">
          <cell r="A1140">
            <v>2191099</v>
          </cell>
          <cell r="B1140" t="str">
            <v>RAM DDR3   1GB / PC1333 / takeMS</v>
          </cell>
          <cell r="C1140">
            <v>0</v>
          </cell>
          <cell r="D1140">
            <v>15</v>
          </cell>
        </row>
        <row r="1141">
          <cell r="A1141">
            <v>2191104</v>
          </cell>
          <cell r="B1141" t="str">
            <v>RAM DDR2 512MB / PC800 / Hynix</v>
          </cell>
          <cell r="C1141">
            <v>0</v>
          </cell>
          <cell r="D1141">
            <v>10.5</v>
          </cell>
        </row>
        <row r="1142">
          <cell r="A1142">
            <v>2191105</v>
          </cell>
          <cell r="B1142" t="str">
            <v>Arbeitsspeicher DDR2 1GB/PC800/Hynix</v>
          </cell>
          <cell r="C1142">
            <v>0</v>
          </cell>
          <cell r="D1142">
            <v>13</v>
          </cell>
        </row>
        <row r="1143">
          <cell r="A1143">
            <v>2191106</v>
          </cell>
          <cell r="B1143" t="str">
            <v>Arbeitsspeicher DDR2 2GB/PC800/Hynix</v>
          </cell>
          <cell r="C1143">
            <v>0</v>
          </cell>
          <cell r="D1143">
            <v>22.02</v>
          </cell>
        </row>
        <row r="1144">
          <cell r="A1144">
            <v>2191107</v>
          </cell>
          <cell r="B1144" t="str">
            <v>RAM DDR2 Fully Buffered  1GB / PC667 / Hynix</v>
          </cell>
          <cell r="C1144">
            <v>0</v>
          </cell>
          <cell r="D1144">
            <v>26.5</v>
          </cell>
        </row>
        <row r="1145">
          <cell r="A1145">
            <v>2191108</v>
          </cell>
          <cell r="B1145" t="str">
            <v>RAM DDR2 Fully Buffered  2GB / PC667 / Hynix</v>
          </cell>
          <cell r="C1145">
            <v>0</v>
          </cell>
          <cell r="D1145">
            <v>45</v>
          </cell>
        </row>
        <row r="1146">
          <cell r="A1146">
            <v>2191109</v>
          </cell>
          <cell r="B1146" t="str">
            <v>RAM DDR2 Fully Buffered  4GB / PC667 / Hynix</v>
          </cell>
          <cell r="C1146">
            <v>0</v>
          </cell>
          <cell r="D1146">
            <v>92.5</v>
          </cell>
        </row>
        <row r="1147">
          <cell r="A1147">
            <v>2191118</v>
          </cell>
          <cell r="B1147" t="str">
            <v>USB Stick 2 GB mit "KARL STORZ" Logo</v>
          </cell>
          <cell r="C1147">
            <v>0</v>
          </cell>
          <cell r="D1147">
            <v>8.8000000000000007</v>
          </cell>
        </row>
        <row r="1148">
          <cell r="A1148">
            <v>2191119</v>
          </cell>
          <cell r="B1148" t="str">
            <v>RAM DDR2  1GB / PC800 / Hynix / double</v>
          </cell>
          <cell r="C1148">
            <v>0</v>
          </cell>
          <cell r="D1148">
            <v>11</v>
          </cell>
        </row>
        <row r="1149">
          <cell r="A1149">
            <v>2191130</v>
          </cell>
          <cell r="B1149" t="str">
            <v>HDSSD 2.5"  32GB Transcend S-ATA II mit MLC-Chips+</v>
          </cell>
          <cell r="C1149">
            <v>0</v>
          </cell>
          <cell r="D1149">
            <v>83.7</v>
          </cell>
        </row>
        <row r="1150">
          <cell r="A1150">
            <v>2191135</v>
          </cell>
          <cell r="B1150" t="str">
            <v>1 GB DDR3 / PC1333 RAM</v>
          </cell>
          <cell r="C1150">
            <v>0</v>
          </cell>
          <cell r="D1150">
            <v>0</v>
          </cell>
        </row>
        <row r="1151">
          <cell r="A1151">
            <v>2191136</v>
          </cell>
          <cell r="B1151" t="str">
            <v>RAM DDR3   2GB / PC1333 / Hynix</v>
          </cell>
          <cell r="C1151">
            <v>0</v>
          </cell>
          <cell r="D1151">
            <v>37</v>
          </cell>
        </row>
        <row r="1152">
          <cell r="A1152">
            <v>2191138</v>
          </cell>
          <cell r="B1152" t="str">
            <v>RAM DDR2  2GB / PC800 / ECC / Hynix</v>
          </cell>
          <cell r="C1152">
            <v>0</v>
          </cell>
          <cell r="D1152">
            <v>28.5</v>
          </cell>
        </row>
        <row r="1153">
          <cell r="A1153">
            <v>2191182</v>
          </cell>
          <cell r="B1153" t="str">
            <v>RAM DDR2  2GB / PC800 / ECC / Samsung</v>
          </cell>
          <cell r="C1153">
            <v>0</v>
          </cell>
          <cell r="D1153">
            <v>45.5</v>
          </cell>
        </row>
        <row r="1154">
          <cell r="A1154">
            <v>2191184</v>
          </cell>
          <cell r="B1154" t="str">
            <v>RAM DDR2 Fully Buffered  4GB / PC667 / Hynix</v>
          </cell>
          <cell r="C1154">
            <v>0</v>
          </cell>
          <cell r="D1154">
            <v>75</v>
          </cell>
        </row>
        <row r="1155">
          <cell r="A1155">
            <v>2191191</v>
          </cell>
          <cell r="B1155" t="str">
            <v>RAM DDR2 Fully Buffered  4GB / PC667 / Hynix</v>
          </cell>
          <cell r="C1155">
            <v>0</v>
          </cell>
          <cell r="D1155">
            <v>95</v>
          </cell>
        </row>
        <row r="1156">
          <cell r="A1156">
            <v>2191194</v>
          </cell>
          <cell r="B1156" t="str">
            <v>RAM DDR2 Fully Buffered  4GB / PC667 / Hynix</v>
          </cell>
          <cell r="C1156">
            <v>0</v>
          </cell>
          <cell r="D1156">
            <v>92.5</v>
          </cell>
        </row>
        <row r="1157">
          <cell r="A1157">
            <v>2191209</v>
          </cell>
          <cell r="B1157" t="str">
            <v>RAM DDR3   4GB / PC1333 / Hynix</v>
          </cell>
          <cell r="C1157">
            <v>0</v>
          </cell>
          <cell r="D1157">
            <v>62.5</v>
          </cell>
        </row>
        <row r="1158">
          <cell r="A1158">
            <v>2191211</v>
          </cell>
          <cell r="B1158" t="str">
            <v>RAM DDR3 REG  4GB / PC1333 / ECC / Samsung (Rx4)</v>
          </cell>
          <cell r="C1158">
            <v>0</v>
          </cell>
          <cell r="D1158">
            <v>66.5</v>
          </cell>
        </row>
        <row r="1159">
          <cell r="A1159">
            <v>2191212</v>
          </cell>
          <cell r="B1159" t="str">
            <v>RAM DDR2  2GB / PC800 / Kingston</v>
          </cell>
          <cell r="C1159">
            <v>0</v>
          </cell>
          <cell r="D1159">
            <v>32</v>
          </cell>
        </row>
        <row r="1160">
          <cell r="A1160">
            <v>2191221</v>
          </cell>
          <cell r="B1160" t="str">
            <v>Y RAM DDR2  1GB / PC800 / NCP / double ***</v>
          </cell>
          <cell r="C1160">
            <v>0</v>
          </cell>
          <cell r="D1160">
            <v>20</v>
          </cell>
        </row>
        <row r="1161">
          <cell r="A1161">
            <v>2191222</v>
          </cell>
          <cell r="B1161" t="str">
            <v>RAM DDR3   4GB / PC1333 / Kingston</v>
          </cell>
          <cell r="C1161">
            <v>0</v>
          </cell>
          <cell r="D1161">
            <v>22</v>
          </cell>
        </row>
        <row r="1162">
          <cell r="A1162">
            <v>2191223</v>
          </cell>
          <cell r="B1162" t="str">
            <v>RAM DDR2  1GB / PC800 / Kingston</v>
          </cell>
          <cell r="C1162">
            <v>0</v>
          </cell>
          <cell r="D1162">
            <v>15.5</v>
          </cell>
        </row>
        <row r="1163">
          <cell r="A1163">
            <v>2191232</v>
          </cell>
          <cell r="B1163" t="str">
            <v>RAM DDR3   2GB / PC1333 / Samsung</v>
          </cell>
          <cell r="C1163">
            <v>0</v>
          </cell>
          <cell r="D1163">
            <v>47.5</v>
          </cell>
        </row>
        <row r="1164">
          <cell r="A1164">
            <v>2191235</v>
          </cell>
          <cell r="B1164" t="str">
            <v>RAM DDR3 REG  2GB / PC1333 / ECC / Samsung (Rx8)</v>
          </cell>
          <cell r="C1164">
            <v>0</v>
          </cell>
          <cell r="D1164">
            <v>39.5</v>
          </cell>
        </row>
        <row r="1165">
          <cell r="A1165">
            <v>2191251</v>
          </cell>
          <cell r="B1165" t="str">
            <v>RAM DDR3   2GB / PC1333 / Hynix / single</v>
          </cell>
          <cell r="C1165">
            <v>0</v>
          </cell>
          <cell r="D1165">
            <v>20</v>
          </cell>
        </row>
        <row r="1166">
          <cell r="A1166">
            <v>2191256</v>
          </cell>
          <cell r="B1166" t="str">
            <v>RAM DDR2  2GB / PC800 / Hynix</v>
          </cell>
          <cell r="C1166">
            <v>0</v>
          </cell>
          <cell r="D1166">
            <v>19.5</v>
          </cell>
        </row>
        <row r="1167">
          <cell r="A1167">
            <v>2191265</v>
          </cell>
          <cell r="B1167" t="str">
            <v>RAM DDR3 REG  4GB / PC1333 / ECC / Samsung (Rx8)</v>
          </cell>
          <cell r="C1167">
            <v>0</v>
          </cell>
          <cell r="D1167">
            <v>109.5</v>
          </cell>
        </row>
        <row r="1168">
          <cell r="A1168">
            <v>2191266</v>
          </cell>
          <cell r="B1168" t="str">
            <v>HDSSD 2.5"  80GB Intel S-ATA II X25-M MLC Box</v>
          </cell>
          <cell r="C1168">
            <v>0</v>
          </cell>
          <cell r="D1168">
            <v>129.9</v>
          </cell>
        </row>
        <row r="1169">
          <cell r="A1169">
            <v>2191272</v>
          </cell>
          <cell r="B1169" t="str">
            <v>Speicher Compact Flash Extreme 8GB Sandisk</v>
          </cell>
          <cell r="C1169">
            <v>0</v>
          </cell>
          <cell r="D1169">
            <v>39.5</v>
          </cell>
        </row>
        <row r="1170">
          <cell r="A1170">
            <v>2191279</v>
          </cell>
          <cell r="B1170" t="str">
            <v>HDSSD 2.5"  64GB Samsung 470 Series S-ATA II MLC</v>
          </cell>
          <cell r="C1170">
            <v>0</v>
          </cell>
          <cell r="D1170">
            <v>83.9</v>
          </cell>
        </row>
        <row r="1171">
          <cell r="A1171">
            <v>2191284</v>
          </cell>
          <cell r="B1171" t="str">
            <v>RAM DDR3   2GB / PC1333 / Samsung</v>
          </cell>
          <cell r="C1171">
            <v>0</v>
          </cell>
          <cell r="D1171">
            <v>8.9</v>
          </cell>
        </row>
        <row r="1172">
          <cell r="A1172">
            <v>2191291</v>
          </cell>
          <cell r="B1172" t="str">
            <v>Speicher USB Stick 8GB "KARL STORZ"</v>
          </cell>
          <cell r="C1172">
            <v>0</v>
          </cell>
          <cell r="D1172">
            <v>5.47</v>
          </cell>
        </row>
        <row r="1173">
          <cell r="A1173">
            <v>2191300</v>
          </cell>
          <cell r="B1173" t="str">
            <v>RAM SO-DIMM DDR3  2GB / PC1333 / Samsung</v>
          </cell>
          <cell r="C1173">
            <v>0</v>
          </cell>
          <cell r="D1173">
            <v>20</v>
          </cell>
        </row>
        <row r="1174">
          <cell r="A1174">
            <v>2191303</v>
          </cell>
          <cell r="B1174" t="str">
            <v>Festplatte SSD 2.5" 80GB Intel 320 Serie</v>
          </cell>
          <cell r="C1174">
            <v>0</v>
          </cell>
          <cell r="D1174">
            <v>117.5</v>
          </cell>
        </row>
        <row r="1175">
          <cell r="A1175">
            <v>2191308</v>
          </cell>
          <cell r="B1175" t="str">
            <v>Arbeitsspeicher DDR3 REG 4GB PC1333 ECC Samsung</v>
          </cell>
          <cell r="C1175">
            <v>0</v>
          </cell>
          <cell r="D1175">
            <v>34</v>
          </cell>
        </row>
        <row r="1176">
          <cell r="A1176">
            <v>2191311</v>
          </cell>
          <cell r="B1176" t="str">
            <v>Festplatte SSD 2.5" 40GB Intel 320 Serie</v>
          </cell>
          <cell r="C1176">
            <v>0</v>
          </cell>
          <cell r="D1176">
            <v>61.5</v>
          </cell>
        </row>
        <row r="1177">
          <cell r="A1177">
            <v>2191318</v>
          </cell>
          <cell r="B1177" t="str">
            <v>2 GB DDR3/ PC1333 RAM</v>
          </cell>
          <cell r="C1177">
            <v>0</v>
          </cell>
          <cell r="D1177">
            <v>8.5</v>
          </cell>
        </row>
        <row r="1178">
          <cell r="A1178">
            <v>2191320</v>
          </cell>
          <cell r="B1178" t="str">
            <v>Festplatte SSD 2.5"120GB OCZ Vertex 3</v>
          </cell>
          <cell r="C1178">
            <v>1</v>
          </cell>
          <cell r="D1178">
            <v>74.900000000000006</v>
          </cell>
        </row>
        <row r="1179">
          <cell r="A1179">
            <v>2191322</v>
          </cell>
          <cell r="B1179" t="str">
            <v>RAM DDR2 Fully Buffered  4GB / PC667 / Hynix</v>
          </cell>
          <cell r="C1179">
            <v>0</v>
          </cell>
          <cell r="D1179">
            <v>85</v>
          </cell>
        </row>
        <row r="1180">
          <cell r="A1180">
            <v>2191332</v>
          </cell>
          <cell r="B1180" t="str">
            <v>RAM DDR3   4GB / PC1333 / Samsung</v>
          </cell>
          <cell r="C1180">
            <v>0</v>
          </cell>
          <cell r="D1180">
            <v>21.15</v>
          </cell>
        </row>
        <row r="1181">
          <cell r="A1181">
            <v>2191337</v>
          </cell>
          <cell r="B1181" t="str">
            <v>HDSSD 2.5" 120GB OCZ Solid 3 Series SATA 3 Box***</v>
          </cell>
          <cell r="C1181">
            <v>0</v>
          </cell>
          <cell r="D1181">
            <v>118</v>
          </cell>
        </row>
        <row r="1182">
          <cell r="A1182">
            <v>2191339</v>
          </cell>
          <cell r="B1182" t="str">
            <v>Festplatte SSD 2.5" 120GB OCZ Agility 3</v>
          </cell>
          <cell r="C1182">
            <v>0</v>
          </cell>
          <cell r="D1182">
            <v>71.900000000000006</v>
          </cell>
        </row>
        <row r="1183">
          <cell r="A1183">
            <v>2191340</v>
          </cell>
          <cell r="B1183" t="str">
            <v>Festplatte SSD 2.5" 60GB OCZ Agility 3</v>
          </cell>
          <cell r="C1183">
            <v>0</v>
          </cell>
          <cell r="D1183">
            <v>45.9</v>
          </cell>
        </row>
        <row r="1184">
          <cell r="A1184">
            <v>2191343</v>
          </cell>
          <cell r="B1184" t="str">
            <v>2,5" SSD 120 GB SATA2 (285 MB/s lesen, 275 MB7s sc</v>
          </cell>
          <cell r="C1184">
            <v>0</v>
          </cell>
          <cell r="D1184">
            <v>110</v>
          </cell>
        </row>
        <row r="1185">
          <cell r="A1185">
            <v>2191344</v>
          </cell>
          <cell r="B1185" t="str">
            <v>Festplatte SSD 2.5" 60GB OCZ Vertex 3</v>
          </cell>
          <cell r="C1185">
            <v>0</v>
          </cell>
          <cell r="D1185">
            <v>83.11</v>
          </cell>
        </row>
        <row r="1186">
          <cell r="A1186">
            <v>2191348</v>
          </cell>
          <cell r="B1186" t="str">
            <v>Festplatte 2,5" SATA3 SSD 240 GB VTX3-25SAT3-240G</v>
          </cell>
          <cell r="C1186">
            <v>13</v>
          </cell>
          <cell r="D1186">
            <v>144</v>
          </cell>
        </row>
        <row r="1187">
          <cell r="A1187">
            <v>2191355</v>
          </cell>
          <cell r="B1187" t="str">
            <v>RAM DDR3   2GB / PC1333 /UB/ Hynix / single</v>
          </cell>
          <cell r="C1187">
            <v>0</v>
          </cell>
          <cell r="D1187">
            <v>16</v>
          </cell>
        </row>
        <row r="1188">
          <cell r="A1188">
            <v>2191377</v>
          </cell>
          <cell r="B1188" t="str">
            <v>RAM DDR2  2GB / PC800 / Samsung***</v>
          </cell>
          <cell r="C1188">
            <v>0</v>
          </cell>
          <cell r="D1188">
            <v>19.899999999999999</v>
          </cell>
        </row>
        <row r="1189">
          <cell r="A1189">
            <v>2191379</v>
          </cell>
          <cell r="B1189" t="str">
            <v>Arbeitsspeicher 4GB DDR3/PC1333 Samsung</v>
          </cell>
          <cell r="C1189">
            <v>80</v>
          </cell>
          <cell r="D1189">
            <v>18</v>
          </cell>
        </row>
        <row r="1190">
          <cell r="A1190">
            <v>2191388</v>
          </cell>
          <cell r="B1190" t="str">
            <v>Arbeitsspeicher 2GB DDR3 SO-DIMM/PC1333/Samsung</v>
          </cell>
          <cell r="C1190">
            <v>0</v>
          </cell>
          <cell r="D1190">
            <v>9.9</v>
          </cell>
        </row>
        <row r="1191">
          <cell r="A1191">
            <v>2191432</v>
          </cell>
          <cell r="B1191" t="str">
            <v>SSD 2.5" 520 Serie 60GB MLC SATA3</v>
          </cell>
          <cell r="C1191">
            <v>1</v>
          </cell>
          <cell r="D1191">
            <v>73.900000000000006</v>
          </cell>
        </row>
        <row r="1192">
          <cell r="A1192">
            <v>2191435</v>
          </cell>
          <cell r="B1192" t="str">
            <v>SSD 2.5" 520 Serie 120GB MLC SATA3</v>
          </cell>
          <cell r="C1192">
            <v>1</v>
          </cell>
          <cell r="D1192">
            <v>121</v>
          </cell>
        </row>
        <row r="1193">
          <cell r="A1193">
            <v>2191436</v>
          </cell>
          <cell r="B1193" t="str">
            <v>SSD 2.5" 520 Serie 180GB MLC SATA3</v>
          </cell>
          <cell r="C1193">
            <v>0</v>
          </cell>
          <cell r="D1193">
            <v>135</v>
          </cell>
        </row>
        <row r="1194">
          <cell r="A1194">
            <v>2191438</v>
          </cell>
          <cell r="B1194" t="str">
            <v>HDSSD 2.5" 240GB Intel 520 Serie SATA 3 MLC Bulk</v>
          </cell>
          <cell r="C1194">
            <v>10</v>
          </cell>
          <cell r="D1194">
            <v>180.61</v>
          </cell>
        </row>
        <row r="1195">
          <cell r="A1195">
            <v>2191439</v>
          </cell>
          <cell r="B1195" t="str">
            <v>SSD 2.5" 520 Serie 240GB MLC SATA3</v>
          </cell>
          <cell r="C1195">
            <v>0</v>
          </cell>
          <cell r="D1195">
            <v>189</v>
          </cell>
        </row>
        <row r="1196">
          <cell r="A1196">
            <v>2191456</v>
          </cell>
          <cell r="B1196" t="str">
            <v>Arbeitsspeicher 2GB DDR3/PC1600/Samsung</v>
          </cell>
          <cell r="C1196">
            <v>0</v>
          </cell>
          <cell r="D1196">
            <v>10.5</v>
          </cell>
        </row>
        <row r="1197">
          <cell r="A1197">
            <v>2191463</v>
          </cell>
          <cell r="B1197" t="str">
            <v>Arbeitsspeicher 4GB DDR3 SO-DIMM/PC1333 Samsung</v>
          </cell>
          <cell r="C1197">
            <v>0</v>
          </cell>
          <cell r="D1197">
            <v>19</v>
          </cell>
        </row>
        <row r="1198">
          <cell r="A1198">
            <v>2191471</v>
          </cell>
          <cell r="B1198" t="str">
            <v>Arbeitsspeicher 4GB DDR3 SO-DIMM/PC1333/Samsung</v>
          </cell>
          <cell r="C1198">
            <v>0</v>
          </cell>
          <cell r="D1198">
            <v>18.39</v>
          </cell>
        </row>
        <row r="1199">
          <cell r="A1199">
            <v>2191472</v>
          </cell>
          <cell r="B1199" t="str">
            <v>SSD 2.5" 330 Serie 60GB MLC SATA3</v>
          </cell>
          <cell r="C1199">
            <v>11</v>
          </cell>
          <cell r="D1199">
            <v>59.9</v>
          </cell>
        </row>
        <row r="1200">
          <cell r="A1200">
            <v>2191473</v>
          </cell>
          <cell r="B1200" t="str">
            <v>SSD 2.5" 330 Serie 120GB MLC SATA3</v>
          </cell>
          <cell r="C1200">
            <v>0</v>
          </cell>
          <cell r="D1200">
            <v>93</v>
          </cell>
        </row>
        <row r="1201">
          <cell r="A1201">
            <v>2191475</v>
          </cell>
          <cell r="B1201" t="str">
            <v>SSD 2.5" 330 Serie 180GB MLC SATA3 Box</v>
          </cell>
          <cell r="C1201">
            <v>0</v>
          </cell>
          <cell r="D1201">
            <v>135</v>
          </cell>
        </row>
        <row r="1202">
          <cell r="A1202">
            <v>2191476</v>
          </cell>
          <cell r="B1202" t="str">
            <v>Arbeitsspeicher Samsung 2GB/PC1333</v>
          </cell>
          <cell r="C1202">
            <v>0</v>
          </cell>
          <cell r="D1202">
            <v>9.9</v>
          </cell>
        </row>
        <row r="1203">
          <cell r="A1203">
            <v>2191478</v>
          </cell>
          <cell r="B1203" t="str">
            <v>Festplatte SSD 2.5" 128GB OCZ Vertex 4</v>
          </cell>
          <cell r="C1203">
            <v>0</v>
          </cell>
          <cell r="D1203">
            <v>105</v>
          </cell>
        </row>
        <row r="1204">
          <cell r="A1204">
            <v>2191565</v>
          </cell>
          <cell r="B1204" t="str">
            <v>RAM 8GB DDR3 PC1600</v>
          </cell>
          <cell r="C1204">
            <v>4</v>
          </cell>
          <cell r="D1204">
            <v>59</v>
          </cell>
        </row>
        <row r="1205">
          <cell r="A1205">
            <v>2191567</v>
          </cell>
          <cell r="B1205" t="str">
            <v>Arbeitsspeicher 2GB DDR3 SO-DIMM/PC1600 Nanya</v>
          </cell>
          <cell r="C1205">
            <v>0</v>
          </cell>
          <cell r="D1205">
            <v>8.9</v>
          </cell>
        </row>
        <row r="1206">
          <cell r="A1206">
            <v>2191581</v>
          </cell>
          <cell r="B1206" t="str">
            <v>RAM SO-DIMM DDR3  8GB / PC1600 /UB/ Samsung</v>
          </cell>
          <cell r="C1206">
            <v>0</v>
          </cell>
          <cell r="D1206">
            <v>49</v>
          </cell>
        </row>
        <row r="1207">
          <cell r="A1207">
            <v>2191583</v>
          </cell>
          <cell r="B1207" t="str">
            <v>RAM 4GB DDR3 PC1600</v>
          </cell>
          <cell r="C1207">
            <v>35</v>
          </cell>
          <cell r="D1207">
            <v>28</v>
          </cell>
        </row>
        <row r="1208">
          <cell r="A1208">
            <v>2191584</v>
          </cell>
          <cell r="B1208" t="str">
            <v>Sandisk 8GB Compact FlashCard 60/400 SDCFixed Driv</v>
          </cell>
          <cell r="C1208">
            <v>0</v>
          </cell>
          <cell r="D1208">
            <v>33.4</v>
          </cell>
        </row>
        <row r="1209">
          <cell r="A1209">
            <v>2200004</v>
          </cell>
          <cell r="B1209" t="str">
            <v>Floppy Teac EXTERN / FD-05PUW USB 1.1, BLACK</v>
          </cell>
          <cell r="C1209">
            <v>0</v>
          </cell>
          <cell r="D1209">
            <v>21</v>
          </cell>
        </row>
        <row r="1210">
          <cell r="A1210">
            <v>2200010</v>
          </cell>
          <cell r="B1210" t="str">
            <v>Floppy Teac 1.44/FD235HF-C110(ohne SN)Ral7035</v>
          </cell>
          <cell r="C1210">
            <v>0</v>
          </cell>
          <cell r="D1210">
            <v>5</v>
          </cell>
        </row>
        <row r="1211">
          <cell r="A1211">
            <v>2200015</v>
          </cell>
          <cell r="B1211" t="str">
            <v>Floppy Slim NEC FD3238T BLACK</v>
          </cell>
          <cell r="C1211">
            <v>0</v>
          </cell>
          <cell r="D1211">
            <v>17</v>
          </cell>
        </row>
        <row r="1212">
          <cell r="A1212">
            <v>2200021</v>
          </cell>
          <cell r="B1212" t="str">
            <v>Floppy NEC Extern/UF0002S USB 1.1, black</v>
          </cell>
          <cell r="C1212">
            <v>0</v>
          </cell>
          <cell r="D1212">
            <v>15</v>
          </cell>
        </row>
        <row r="1213">
          <cell r="A1213">
            <v>2200027</v>
          </cell>
          <cell r="B1213" t="str">
            <v>Floppy Sony 1.44MB MPF920-Z121 BLACK</v>
          </cell>
          <cell r="C1213">
            <v>0</v>
          </cell>
          <cell r="D1213">
            <v>0</v>
          </cell>
        </row>
        <row r="1214">
          <cell r="A1214">
            <v>2200030</v>
          </cell>
          <cell r="B1214" t="str">
            <v>Floppy Teac FD-CR07 + Cardreader intern beige RoHS</v>
          </cell>
          <cell r="C1214">
            <v>0</v>
          </cell>
          <cell r="D1214">
            <v>16.5</v>
          </cell>
        </row>
        <row r="1215">
          <cell r="A1215">
            <v>2200038</v>
          </cell>
          <cell r="B1215" t="str">
            <v>Floppy Teac FD-CR07 + Cardreader intern black</v>
          </cell>
          <cell r="C1215">
            <v>0</v>
          </cell>
          <cell r="D1215">
            <v>16</v>
          </cell>
        </row>
        <row r="1216">
          <cell r="A1216">
            <v>2200041</v>
          </cell>
          <cell r="B1216" t="str">
            <v>Floppy Teac FD-235HF-C829 BLACK ***</v>
          </cell>
          <cell r="C1216">
            <v>0</v>
          </cell>
          <cell r="D1216">
            <v>8.9</v>
          </cell>
        </row>
        <row r="1217">
          <cell r="A1217">
            <v>2200042</v>
          </cell>
          <cell r="B1217" t="str">
            <v>Floppy Slim Intel 1.44 MB/USB</v>
          </cell>
          <cell r="C1217">
            <v>0</v>
          </cell>
          <cell r="D1217">
            <v>35</v>
          </cell>
        </row>
        <row r="1218">
          <cell r="A1218">
            <v>2200045</v>
          </cell>
          <cell r="B1218" t="str">
            <v>Floppy Teac EXTERN / FD-05PUW USB 1.1, Black</v>
          </cell>
          <cell r="C1218">
            <v>0</v>
          </cell>
          <cell r="D1218">
            <v>0</v>
          </cell>
        </row>
        <row r="1219">
          <cell r="A1219">
            <v>2230004</v>
          </cell>
          <cell r="B1219" t="str">
            <v>Teac CDRW CD-W552GB-038 (52/32/52x) Lichtgrau</v>
          </cell>
          <cell r="C1219">
            <v>0</v>
          </cell>
          <cell r="D1219">
            <v>24.9</v>
          </cell>
        </row>
        <row r="1220">
          <cell r="A1220">
            <v>2240164</v>
          </cell>
          <cell r="B1220" t="str">
            <v>Toshiba Combo SD-R1612</v>
          </cell>
          <cell r="C1220">
            <v>0</v>
          </cell>
          <cell r="D1220">
            <v>28</v>
          </cell>
        </row>
        <row r="1221">
          <cell r="A1221">
            <v>2240170</v>
          </cell>
          <cell r="B1221" t="str">
            <v>CDR Software NERO Express 6 (MPEG4 Trial)</v>
          </cell>
          <cell r="C1221">
            <v>0</v>
          </cell>
          <cell r="D1221">
            <v>3</v>
          </cell>
        </row>
        <row r="1222">
          <cell r="A1222">
            <v>2240172</v>
          </cell>
          <cell r="B1222" t="str">
            <v>NERO 7 Essentials OEM Suite 1</v>
          </cell>
          <cell r="C1222">
            <v>0</v>
          </cell>
          <cell r="D1222">
            <v>3.25</v>
          </cell>
        </row>
        <row r="1223">
          <cell r="A1223">
            <v>2240176</v>
          </cell>
          <cell r="B1223" t="str">
            <v>CDR Software NERO 7 Essentials Vista OEM Suite 1</v>
          </cell>
          <cell r="C1223">
            <v>0</v>
          </cell>
          <cell r="D1223">
            <v>2</v>
          </cell>
        </row>
        <row r="1224">
          <cell r="A1224">
            <v>2240178</v>
          </cell>
          <cell r="B1224" t="str">
            <v>CDR Software NERO 8 Essentials OEM Suite 1</v>
          </cell>
          <cell r="C1224">
            <v>0</v>
          </cell>
          <cell r="D1224">
            <v>3.9</v>
          </cell>
        </row>
        <row r="1225">
          <cell r="A1225">
            <v>2240180</v>
          </cell>
          <cell r="B1225" t="str">
            <v>CDR Software NERO 9 Essentials OEM Suite 1</v>
          </cell>
          <cell r="C1225">
            <v>0</v>
          </cell>
          <cell r="D1225">
            <v>2</v>
          </cell>
        </row>
        <row r="1226">
          <cell r="A1226">
            <v>2240182</v>
          </cell>
          <cell r="B1226" t="str">
            <v>CDR Software NERO 9 Essentials OEM***</v>
          </cell>
          <cell r="C1226">
            <v>0</v>
          </cell>
          <cell r="D1226">
            <v>2.9</v>
          </cell>
        </row>
        <row r="1227">
          <cell r="A1227">
            <v>2240184</v>
          </cell>
          <cell r="B1227" t="str">
            <v>CDR Software NERO 10 Essentials OEM Suite 1</v>
          </cell>
          <cell r="C1227">
            <v>0</v>
          </cell>
          <cell r="D1227">
            <v>0</v>
          </cell>
        </row>
        <row r="1228">
          <cell r="A1228">
            <v>2240186</v>
          </cell>
          <cell r="B1228" t="str">
            <v>Software NERO BackItUp&amp;Burn Essentials</v>
          </cell>
          <cell r="C1228">
            <v>0</v>
          </cell>
          <cell r="D1228">
            <v>1.9</v>
          </cell>
        </row>
        <row r="1229">
          <cell r="A1229">
            <v>2240188</v>
          </cell>
          <cell r="B1229" t="str">
            <v>CDR Software NERO 10 Essentials OEM Suite 2</v>
          </cell>
          <cell r="C1229">
            <v>0</v>
          </cell>
          <cell r="D1229">
            <v>1.8</v>
          </cell>
        </row>
        <row r="1230">
          <cell r="A1230">
            <v>2250013</v>
          </cell>
          <cell r="B1230" t="str">
            <v>LG DVD-ROM 816xB (16x/52x) Bulk Lichtgrau RAL7035</v>
          </cell>
          <cell r="C1230">
            <v>0</v>
          </cell>
          <cell r="D1230">
            <v>12.9</v>
          </cell>
        </row>
        <row r="1231">
          <cell r="A1231">
            <v>2250073</v>
          </cell>
          <cell r="B1231" t="str">
            <v>LG DVD-ROM 816xB (16x/52x) Bulk BLACK</v>
          </cell>
          <cell r="C1231">
            <v>0</v>
          </cell>
          <cell r="D1231">
            <v>11.8</v>
          </cell>
        </row>
        <row r="1232">
          <cell r="A1232">
            <v>2250109</v>
          </cell>
          <cell r="B1232" t="str">
            <v>CD DVD Software PowerDVD 6.0 OEM CD</v>
          </cell>
          <cell r="C1232">
            <v>0</v>
          </cell>
          <cell r="D1232">
            <v>3</v>
          </cell>
        </row>
        <row r="1233">
          <cell r="A1233">
            <v>2250119</v>
          </cell>
          <cell r="B1233" t="str">
            <v>Toshiba DVD±RW/±R SD-R5472V Bulk Lichtgrau</v>
          </cell>
          <cell r="C1233">
            <v>0</v>
          </cell>
          <cell r="D1233">
            <v>38</v>
          </cell>
        </row>
        <row r="1234">
          <cell r="A1234">
            <v>2250139</v>
          </cell>
          <cell r="B1234" t="str">
            <v>CD DVD Software PowerDVD 7.0 OEM CD</v>
          </cell>
          <cell r="C1234">
            <v>0</v>
          </cell>
          <cell r="D1234">
            <v>2</v>
          </cell>
        </row>
        <row r="1235">
          <cell r="A1235">
            <v>2250149</v>
          </cell>
          <cell r="B1235" t="str">
            <v>LG DVD-ROM GDR-H30N-BB Bulk Lichtgrau RAL7035</v>
          </cell>
          <cell r="C1235">
            <v>0</v>
          </cell>
          <cell r="D1235">
            <v>12.5</v>
          </cell>
        </row>
        <row r="1236">
          <cell r="A1236">
            <v>2250156</v>
          </cell>
          <cell r="B1236" t="str">
            <v>CD DVD  Software PowerDVD 8.0 OEM CD</v>
          </cell>
          <cell r="C1236">
            <v>0</v>
          </cell>
          <cell r="D1236">
            <v>2.04</v>
          </cell>
        </row>
        <row r="1237">
          <cell r="A1237">
            <v>2250159</v>
          </cell>
          <cell r="B1237" t="str">
            <v>Panasonic DVD±RW/±R Slim UJ-875 black</v>
          </cell>
          <cell r="C1237">
            <v>6</v>
          </cell>
          <cell r="D1237">
            <v>65</v>
          </cell>
        </row>
        <row r="1238">
          <cell r="A1238">
            <v>2250160</v>
          </cell>
          <cell r="B1238" t="str">
            <v>LG DVD-ROM [SATA] DH16NS10  Bulk BLACK</v>
          </cell>
          <cell r="C1238">
            <v>0</v>
          </cell>
          <cell r="D1238">
            <v>12</v>
          </cell>
        </row>
        <row r="1239">
          <cell r="A1239">
            <v>2250167</v>
          </cell>
          <cell r="B1239" t="str">
            <v>Laufwerk Slim Blu-ray RW SATA Slot UJ235A</v>
          </cell>
          <cell r="C1239">
            <v>4</v>
          </cell>
          <cell r="D1239">
            <v>280.99</v>
          </cell>
        </row>
        <row r="1240">
          <cell r="A1240">
            <v>2250169</v>
          </cell>
          <cell r="B1240" t="str">
            <v>Laufwerk Slim DVD±RW SATA Slot UJ875A</v>
          </cell>
          <cell r="C1240">
            <v>15</v>
          </cell>
          <cell r="D1240">
            <v>45</v>
          </cell>
        </row>
        <row r="1241">
          <cell r="A1241">
            <v>2250171</v>
          </cell>
          <cell r="B1241" t="str">
            <v>Asus DVD-ROM [PATA] DVD-E818A2 (18x/48x) Lichtgr.</v>
          </cell>
          <cell r="C1241">
            <v>0</v>
          </cell>
          <cell r="D1241">
            <v>7.48</v>
          </cell>
        </row>
        <row r="1242">
          <cell r="A1242">
            <v>2250174</v>
          </cell>
          <cell r="B1242" t="str">
            <v>CD DVD  Software PowerDVD 9.0 OEM CD</v>
          </cell>
          <cell r="C1242">
            <v>0</v>
          </cell>
          <cell r="D1242">
            <v>2</v>
          </cell>
        </row>
        <row r="1243">
          <cell r="A1243">
            <v>2250185</v>
          </cell>
          <cell r="B1243" t="str">
            <v>LG DVD-ROM [SATA] DH18NS40 ohne SN Bulk BLACK</v>
          </cell>
          <cell r="C1243">
            <v>0</v>
          </cell>
          <cell r="D1243">
            <v>10</v>
          </cell>
        </row>
        <row r="1244">
          <cell r="A1244">
            <v>2250215</v>
          </cell>
          <cell r="B1244" t="str">
            <v>Sony Combo CRX320E-B2 (52/32/52/16x) bulk black</v>
          </cell>
          <cell r="C1244">
            <v>0</v>
          </cell>
          <cell r="D1244">
            <v>30</v>
          </cell>
        </row>
        <row r="1245">
          <cell r="A1245">
            <v>2250224</v>
          </cell>
          <cell r="B1245" t="str">
            <v>Sony DVD DDU1613-B2 (16x/48x) bulk black</v>
          </cell>
          <cell r="C1245">
            <v>0</v>
          </cell>
          <cell r="D1245">
            <v>12</v>
          </cell>
        </row>
        <row r="1246">
          <cell r="A1246">
            <v>2250232</v>
          </cell>
          <cell r="B1246" t="str">
            <v>Sony CDROM CDU5212-WG (52x) bulk RAL7035 Lichtgrau</v>
          </cell>
          <cell r="C1246">
            <v>0</v>
          </cell>
          <cell r="D1246">
            <v>11</v>
          </cell>
        </row>
        <row r="1247">
          <cell r="A1247">
            <v>2250235</v>
          </cell>
          <cell r="B1247" t="str">
            <v>Sony DVD DDU1615-WG (16x/48x) bulk RAL7035</v>
          </cell>
          <cell r="C1247">
            <v>0</v>
          </cell>
          <cell r="D1247">
            <v>18</v>
          </cell>
        </row>
        <row r="1248">
          <cell r="A1248">
            <v>2250236</v>
          </cell>
          <cell r="B1248" t="str">
            <v>DVDCOMBO Sony CRX320E-WG 52x/32x/52x/16x</v>
          </cell>
          <cell r="C1248">
            <v>0</v>
          </cell>
          <cell r="D1248">
            <v>28</v>
          </cell>
        </row>
        <row r="1249">
          <cell r="A1249">
            <v>2250240</v>
          </cell>
          <cell r="B1249" t="str">
            <v>CDRW Sony CRX230ED-WG 52x/32x/52x</v>
          </cell>
          <cell r="C1249">
            <v>0</v>
          </cell>
          <cell r="D1249">
            <v>23</v>
          </cell>
        </row>
        <row r="1250">
          <cell r="A1250">
            <v>2250243</v>
          </cell>
          <cell r="B1250" t="str">
            <v>Sony CDROM CDU5215-WG (52x) bulk RAL7035 Lichtgrau</v>
          </cell>
          <cell r="C1250">
            <v>0</v>
          </cell>
          <cell r="D1250">
            <v>10.9</v>
          </cell>
        </row>
        <row r="1251">
          <cell r="A1251">
            <v>2250246</v>
          </cell>
          <cell r="B1251" t="str">
            <v>DVD-ROM LH-16D1P-488C (16x/48x) RAL7035 ***</v>
          </cell>
          <cell r="C1251">
            <v>0</v>
          </cell>
          <cell r="D1251">
            <v>9.9</v>
          </cell>
        </row>
        <row r="1252">
          <cell r="A1252">
            <v>2250250</v>
          </cell>
          <cell r="B1252" t="str">
            <v>LG DVD±RW/±R GSA-4167B-BB 16X DL Bulk Baredrive</v>
          </cell>
          <cell r="C1252">
            <v>0</v>
          </cell>
          <cell r="D1252">
            <v>45</v>
          </cell>
        </row>
        <row r="1253">
          <cell r="A1253">
            <v>2250253</v>
          </cell>
          <cell r="B1253" t="str">
            <v>LG DVD±RW/±R GSA-H10A-BB DL Bulk Baredrive</v>
          </cell>
          <cell r="C1253">
            <v>0</v>
          </cell>
          <cell r="D1253">
            <v>34</v>
          </cell>
        </row>
        <row r="1254">
          <cell r="A1254">
            <v>2250255</v>
          </cell>
          <cell r="B1254" t="str">
            <v>LG DVD±RW/±R GSA-H10N-BBLK DL BLACK Bulk Baredrive</v>
          </cell>
          <cell r="C1254">
            <v>0</v>
          </cell>
          <cell r="D1254">
            <v>34.9</v>
          </cell>
        </row>
        <row r="1255">
          <cell r="A1255">
            <v>2250256</v>
          </cell>
          <cell r="B1255" t="str">
            <v>LG DVD±RW/±R GSA-H10N-BB DL Bulk Baredrive</v>
          </cell>
          <cell r="C1255">
            <v>0</v>
          </cell>
          <cell r="D1255">
            <v>34.9</v>
          </cell>
        </row>
        <row r="1256">
          <cell r="A1256">
            <v>2250257</v>
          </cell>
          <cell r="B1256" t="str">
            <v>LG DVD±RW/±R GSA-H22N-BBLK DL BLACK Bulk Baredrive</v>
          </cell>
          <cell r="C1256">
            <v>0</v>
          </cell>
          <cell r="D1256">
            <v>29.5</v>
          </cell>
        </row>
        <row r="1257">
          <cell r="A1257">
            <v>2250258</v>
          </cell>
          <cell r="B1257" t="str">
            <v>LG DVD±RW/±R GSA-H22N-BB DL Bulk Baredrive beige</v>
          </cell>
          <cell r="C1257">
            <v>0</v>
          </cell>
          <cell r="D1257">
            <v>28</v>
          </cell>
        </row>
        <row r="1258">
          <cell r="A1258">
            <v>2250261</v>
          </cell>
          <cell r="B1258" t="str">
            <v>LG DVD±RW/±R GSA-H42N-BB DL Bulk Lichtgrau RAL7035</v>
          </cell>
          <cell r="C1258">
            <v>0</v>
          </cell>
          <cell r="D1258">
            <v>32.5</v>
          </cell>
        </row>
        <row r="1259">
          <cell r="A1259">
            <v>2250262</v>
          </cell>
          <cell r="B1259" t="str">
            <v>LG DVD±RW/±R GSA-H42N-BBLK DL Bulk BLACK Baredrive</v>
          </cell>
          <cell r="C1259">
            <v>0</v>
          </cell>
          <cell r="D1259">
            <v>28.9</v>
          </cell>
        </row>
        <row r="1260">
          <cell r="A1260">
            <v>2250265</v>
          </cell>
          <cell r="B1260" t="str">
            <v>LG DVD±RW/±R GSA-H44N-BBLK Bulk BLACK Baredrive</v>
          </cell>
          <cell r="C1260">
            <v>0</v>
          </cell>
          <cell r="D1260">
            <v>28.5</v>
          </cell>
        </row>
        <row r="1261">
          <cell r="A1261">
            <v>2250270</v>
          </cell>
          <cell r="B1261" t="str">
            <v>LG DVD±RW/±R GSA-H54N-BBB Bulk Lichtgrau RAL7035</v>
          </cell>
          <cell r="C1261">
            <v>0</v>
          </cell>
          <cell r="D1261">
            <v>29.9</v>
          </cell>
        </row>
        <row r="1262">
          <cell r="A1262">
            <v>2250271</v>
          </cell>
          <cell r="B1262" t="str">
            <v>LG DVD±RW/±R GSA-H55N-BB "SecurDisc" Bulk Lichtgr.</v>
          </cell>
          <cell r="C1262">
            <v>0</v>
          </cell>
          <cell r="D1262">
            <v>32.5</v>
          </cell>
        </row>
        <row r="1263">
          <cell r="A1263">
            <v>2250273</v>
          </cell>
          <cell r="B1263" t="str">
            <v>LG DVD±RW/±R [SATA] GSA-H62N-RBB Bulk BLACK</v>
          </cell>
          <cell r="C1263">
            <v>0</v>
          </cell>
          <cell r="D1263">
            <v>28.5</v>
          </cell>
        </row>
        <row r="1264">
          <cell r="A1264">
            <v>2250274</v>
          </cell>
          <cell r="B1264" t="str">
            <v>LG DVD±RW/±R GSA-H62N-BBB SATA Bulk Lichtgrau Bare</v>
          </cell>
          <cell r="C1264">
            <v>0</v>
          </cell>
          <cell r="D1264">
            <v>29.9</v>
          </cell>
        </row>
        <row r="1265">
          <cell r="A1265">
            <v>2250279</v>
          </cell>
          <cell r="B1265" t="str">
            <v>Laufwerk DVD-ROM SATA schwarz DH-16DxS-02C</v>
          </cell>
          <cell r="C1265">
            <v>0</v>
          </cell>
          <cell r="D1265">
            <v>11.5</v>
          </cell>
        </row>
        <row r="1266">
          <cell r="A1266">
            <v>2250282</v>
          </cell>
          <cell r="B1266" t="str">
            <v>LG DVD±RW/±R GSA-H58N-BB "SecurDisc" Bulk Lichtgr.</v>
          </cell>
          <cell r="C1266">
            <v>0</v>
          </cell>
          <cell r="D1266">
            <v>24.9</v>
          </cell>
        </row>
        <row r="1267">
          <cell r="A1267">
            <v>2250285</v>
          </cell>
          <cell r="B1267" t="str">
            <v>LG DVD±RW/±R [SATA] GH20NS10 Bulk BLACK Secu.</v>
          </cell>
          <cell r="C1267">
            <v>0</v>
          </cell>
          <cell r="D1267">
            <v>23.5</v>
          </cell>
        </row>
        <row r="1268">
          <cell r="A1268">
            <v>2250287</v>
          </cell>
          <cell r="B1268" t="str">
            <v>LiteOn DVD-ROM [SATA] DH-16D2S-43C Lichtgrau</v>
          </cell>
          <cell r="C1268">
            <v>0</v>
          </cell>
          <cell r="D1268">
            <v>0</v>
          </cell>
        </row>
        <row r="1269">
          <cell r="A1269">
            <v>2250290</v>
          </cell>
          <cell r="B1269" t="str">
            <v>LG DVD±RW/±R [PATA] GH22NP20 SecDisc Bulk BLACK</v>
          </cell>
          <cell r="C1269">
            <v>0</v>
          </cell>
          <cell r="D1269">
            <v>19.899999999999999</v>
          </cell>
        </row>
        <row r="1270">
          <cell r="A1270">
            <v>2250291</v>
          </cell>
          <cell r="B1270" t="str">
            <v>LG DVD±RW/±R [SATA] GH22NS30 SecDisc Bulk BLACK</v>
          </cell>
          <cell r="C1270">
            <v>0</v>
          </cell>
          <cell r="D1270">
            <v>16.600000000000001</v>
          </cell>
        </row>
        <row r="1271">
          <cell r="A1271">
            <v>2250292</v>
          </cell>
          <cell r="B1271" t="str">
            <v>LG DVD±RW/±R [SATA] GH22NS30 SecDisc Bulk Lichtgr.</v>
          </cell>
          <cell r="C1271">
            <v>0</v>
          </cell>
          <cell r="D1271">
            <v>19.899999999999999</v>
          </cell>
        </row>
        <row r="1272">
          <cell r="A1272">
            <v>2250293</v>
          </cell>
          <cell r="B1272" t="str">
            <v>Sony/NEC DVD-ROM DDU16x5S [SATA] RAL7035 bulk</v>
          </cell>
          <cell r="C1272">
            <v>0</v>
          </cell>
          <cell r="D1272">
            <v>11.5</v>
          </cell>
        </row>
        <row r="1273">
          <cell r="A1273">
            <v>2250297</v>
          </cell>
          <cell r="B1273" t="str">
            <v>LiteOn DVD-ROM [SATA] iHDS118 BLACK</v>
          </cell>
          <cell r="C1273">
            <v>0</v>
          </cell>
          <cell r="D1273">
            <v>13.5</v>
          </cell>
        </row>
        <row r="1274">
          <cell r="A1274">
            <v>2250301</v>
          </cell>
          <cell r="B1274" t="str">
            <v>BluRay-ROM / DVD-ROM</v>
          </cell>
          <cell r="C1274">
            <v>0</v>
          </cell>
          <cell r="D1274">
            <v>33.9</v>
          </cell>
        </row>
        <row r="1275">
          <cell r="A1275">
            <v>2250307</v>
          </cell>
          <cell r="B1275" t="str">
            <v>LG DVD±RW/±R [SATA] GH40N-BL-05 Bulk BLACK</v>
          </cell>
          <cell r="C1275">
            <v>0</v>
          </cell>
          <cell r="D1275">
            <v>22.9</v>
          </cell>
        </row>
        <row r="1276">
          <cell r="A1276">
            <v>2250331</v>
          </cell>
          <cell r="B1276" t="str">
            <v>LG Blu-ray/DVD±RW [SATA] BH10LS30 SM/LS Ret. black</v>
          </cell>
          <cell r="C1276">
            <v>0</v>
          </cell>
          <cell r="D1276">
            <v>64.900000000000006</v>
          </cell>
        </row>
        <row r="1277">
          <cell r="A1277">
            <v>2250335</v>
          </cell>
          <cell r="B1277" t="str">
            <v>LG DVD±RW/±R [SATA]GH22NS50 ohne SN SecDisc BulkBL</v>
          </cell>
          <cell r="C1277">
            <v>0</v>
          </cell>
          <cell r="D1277">
            <v>11</v>
          </cell>
        </row>
        <row r="1278">
          <cell r="A1278">
            <v>2250338</v>
          </cell>
          <cell r="B1278" t="str">
            <v>LiteOn DVD-ROM [SATA] iHDS118 BLACK</v>
          </cell>
          <cell r="C1278">
            <v>0</v>
          </cell>
          <cell r="D1278">
            <v>11.9</v>
          </cell>
        </row>
        <row r="1279">
          <cell r="A1279">
            <v>2250344</v>
          </cell>
          <cell r="B1279" t="str">
            <v>Laufwerk Slim-Blu-ray/DVD+/-RW SATA Slot BC-5640H</v>
          </cell>
          <cell r="C1279">
            <v>5</v>
          </cell>
          <cell r="D1279">
            <v>89</v>
          </cell>
        </row>
        <row r="1280">
          <cell r="A1280">
            <v>2250362</v>
          </cell>
          <cell r="B1280" t="str">
            <v>LG DVD±RW/±R [SATA] GH22NS70 ohne SN Bulk BLACK</v>
          </cell>
          <cell r="C1280">
            <v>0</v>
          </cell>
          <cell r="D1280">
            <v>17.899999999999999</v>
          </cell>
        </row>
        <row r="1281">
          <cell r="A1281">
            <v>2250364</v>
          </cell>
          <cell r="B1281" t="str">
            <v>Laufwerk Slim Blu-ray/DVD±RW SATA Tray BC-5550H</v>
          </cell>
          <cell r="C1281">
            <v>0</v>
          </cell>
          <cell r="D1281">
            <v>45</v>
          </cell>
        </row>
        <row r="1282">
          <cell r="A1282">
            <v>2250370</v>
          </cell>
          <cell r="B1282" t="str">
            <v>LG DVD±RW/±R [SATA] GH22NS90 ohne SN Bulk BLACK</v>
          </cell>
          <cell r="C1282">
            <v>0</v>
          </cell>
          <cell r="D1282">
            <v>13.5</v>
          </cell>
        </row>
        <row r="1283">
          <cell r="A1283">
            <v>2250373</v>
          </cell>
          <cell r="B1283" t="str">
            <v>Laufwerk Slim DVD±RW SATA Slot BC-5650H</v>
          </cell>
          <cell r="C1283">
            <v>347</v>
          </cell>
          <cell r="D1283">
            <v>79</v>
          </cell>
        </row>
        <row r="1284">
          <cell r="A1284">
            <v>2250383</v>
          </cell>
          <cell r="B1284" t="str">
            <v>LG DVD±RW/±R Slim [USB Extern] GP30NW40 Ret. White</v>
          </cell>
          <cell r="C1284">
            <v>0</v>
          </cell>
          <cell r="D1284">
            <v>31.5</v>
          </cell>
        </row>
        <row r="1285">
          <cell r="A1285">
            <v>2250387</v>
          </cell>
          <cell r="B1285" t="str">
            <v>Laufwerk Blu-ray/DVD±RW UJ265</v>
          </cell>
          <cell r="C1285">
            <v>279</v>
          </cell>
          <cell r="D1285">
            <v>88.35</v>
          </cell>
        </row>
        <row r="1286">
          <cell r="A1286">
            <v>2252000</v>
          </cell>
          <cell r="B1286" t="str">
            <v>LG DVD±RW/±R [SATA] GH22NS40 ohne SN Bulk BLACK</v>
          </cell>
          <cell r="C1286">
            <v>0</v>
          </cell>
          <cell r="D1286">
            <v>0</v>
          </cell>
        </row>
        <row r="1287">
          <cell r="A1287">
            <v>2260000</v>
          </cell>
          <cell r="B1287" t="str">
            <v>Sony/NEC Slim Slot-In DVD±RW AD-7630A</v>
          </cell>
          <cell r="C1287">
            <v>1</v>
          </cell>
          <cell r="D1287">
            <v>49</v>
          </cell>
        </row>
        <row r="1288">
          <cell r="A1288">
            <v>2260004</v>
          </cell>
          <cell r="B1288" t="str">
            <v>Sony/NEC Slim DVD±RW AD-75x0A [PATA] BLACK</v>
          </cell>
          <cell r="C1288">
            <v>0</v>
          </cell>
          <cell r="D1288">
            <v>45</v>
          </cell>
        </row>
        <row r="1289">
          <cell r="A1289">
            <v>2260005</v>
          </cell>
          <cell r="B1289" t="str">
            <v>Sony/NEC Slim DVD±RW AD-7670S [SATA] Slot BLACK</v>
          </cell>
          <cell r="C1289">
            <v>2</v>
          </cell>
          <cell r="D1289">
            <v>45</v>
          </cell>
        </row>
        <row r="1290">
          <cell r="A1290">
            <v>2260007</v>
          </cell>
          <cell r="B1290" t="str">
            <v>Laufwerk Slim DVD±RW SATA Slot AD-7690H</v>
          </cell>
          <cell r="C1290">
            <v>12</v>
          </cell>
          <cell r="D1290">
            <v>45</v>
          </cell>
        </row>
        <row r="1291">
          <cell r="A1291">
            <v>2260095</v>
          </cell>
          <cell r="B1291" t="str">
            <v>Teac DVD±RW/±R</v>
          </cell>
          <cell r="C1291">
            <v>0</v>
          </cell>
          <cell r="D1291">
            <v>45</v>
          </cell>
        </row>
        <row r="1292">
          <cell r="A1292">
            <v>2260119</v>
          </cell>
          <cell r="B1292" t="str">
            <v>Toshiba Slim DVD±R/±RW SD-R6472 (8x/8x) DL bulk</v>
          </cell>
          <cell r="C1292">
            <v>0</v>
          </cell>
          <cell r="D1292">
            <v>65</v>
          </cell>
        </row>
        <row r="1293">
          <cell r="A1293">
            <v>2260127</v>
          </cell>
          <cell r="B1293" t="str">
            <v>Teac DVD±RW/±R DV-W516GB-038</v>
          </cell>
          <cell r="C1293">
            <v>0</v>
          </cell>
          <cell r="D1293">
            <v>30.9</v>
          </cell>
        </row>
        <row r="1294">
          <cell r="A1294">
            <v>2260132</v>
          </cell>
          <cell r="B1294" t="str">
            <v>Toshiba DVD SD-M2012C (16x/48x)</v>
          </cell>
          <cell r="C1294">
            <v>0</v>
          </cell>
          <cell r="D1294">
            <v>14</v>
          </cell>
        </row>
        <row r="1295">
          <cell r="A1295">
            <v>2260133</v>
          </cell>
          <cell r="B1295" t="str">
            <v>Teac Slim DVD DV-28E-NM3 (8xDVD/24xCD) BLACK, RoHS</v>
          </cell>
          <cell r="C1295">
            <v>0</v>
          </cell>
          <cell r="D1295">
            <v>49</v>
          </cell>
        </row>
        <row r="1296">
          <cell r="A1296">
            <v>2260134</v>
          </cell>
          <cell r="B1296" t="str">
            <v>Pioneer Slim DVD±RW/±R DVR-K05 Slot-In BLACK</v>
          </cell>
          <cell r="C1296">
            <v>0</v>
          </cell>
          <cell r="D1296">
            <v>80</v>
          </cell>
        </row>
        <row r="1297">
          <cell r="A1297">
            <v>2260135</v>
          </cell>
          <cell r="B1297" t="str">
            <v>CD-ROM Slim-Adapter</v>
          </cell>
          <cell r="C1297">
            <v>0</v>
          </cell>
          <cell r="D1297">
            <v>10</v>
          </cell>
        </row>
        <row r="1298">
          <cell r="A1298">
            <v>2260142</v>
          </cell>
          <cell r="B1298" t="str">
            <v>Sony Slim DVD±RW/±R DW-Q58A-41 (DL)  black bezel</v>
          </cell>
          <cell r="C1298">
            <v>0</v>
          </cell>
          <cell r="D1298">
            <v>58</v>
          </cell>
        </row>
        <row r="1299">
          <cell r="A1299">
            <v>2260144</v>
          </cell>
          <cell r="B1299" t="str">
            <v>Sony DVD±RW/±R DW-G120A-WG (16x/16x) DL RAL7035</v>
          </cell>
          <cell r="C1299">
            <v>0</v>
          </cell>
          <cell r="D1299">
            <v>39</v>
          </cell>
        </row>
        <row r="1300">
          <cell r="A1300">
            <v>2260145</v>
          </cell>
          <cell r="B1300" t="str">
            <v>Sony Slim Combo CRX850E11 (DVD/CDRW)  black bezel</v>
          </cell>
          <cell r="C1300">
            <v>0</v>
          </cell>
          <cell r="D1300">
            <v>32</v>
          </cell>
        </row>
        <row r="1301">
          <cell r="A1301">
            <v>2260146</v>
          </cell>
          <cell r="B1301" t="str">
            <v>Pioneer Slim DVD±RW/±R DVR-K06 Slot-In BLACK</v>
          </cell>
          <cell r="C1301">
            <v>1</v>
          </cell>
          <cell r="D1301">
            <v>0</v>
          </cell>
        </row>
        <row r="1302">
          <cell r="A1302">
            <v>2260149</v>
          </cell>
          <cell r="B1302" t="str">
            <v>Sony DVD±RW/±R DW-Q120A-B2 (16x/16x) DL BLACK</v>
          </cell>
          <cell r="C1302">
            <v>0</v>
          </cell>
          <cell r="D1302">
            <v>34.9</v>
          </cell>
        </row>
        <row r="1303">
          <cell r="A1303">
            <v>2260150</v>
          </cell>
          <cell r="B1303" t="str">
            <v>Sony DVD±RW/±R DW-Q120A-WG (16x/16x) DL RAL7035</v>
          </cell>
          <cell r="C1303">
            <v>0</v>
          </cell>
          <cell r="D1303">
            <v>31.9</v>
          </cell>
        </row>
        <row r="1304">
          <cell r="A1304">
            <v>2260151</v>
          </cell>
          <cell r="B1304" t="str">
            <v>Sony Slim DVD±RW/±R DW-Q520A-11 black bezel</v>
          </cell>
          <cell r="C1304">
            <v>0</v>
          </cell>
          <cell r="D1304">
            <v>59</v>
          </cell>
        </row>
        <row r="1305">
          <cell r="A1305">
            <v>2260153</v>
          </cell>
          <cell r="B1305" t="str">
            <v>Teac Slim DVD DV-28E-R93 (8xDVD/24xCD) BLACK RoHS</v>
          </cell>
          <cell r="C1305">
            <v>0</v>
          </cell>
          <cell r="D1305">
            <v>49</v>
          </cell>
        </row>
        <row r="1306">
          <cell r="A1306">
            <v>2260156</v>
          </cell>
          <cell r="B1306" t="str">
            <v>Teac Slim DVD±R/±RW DV-W28EC-083 BLACK</v>
          </cell>
          <cell r="C1306">
            <v>0</v>
          </cell>
          <cell r="D1306">
            <v>39</v>
          </cell>
        </row>
        <row r="1307">
          <cell r="A1307">
            <v>2260157</v>
          </cell>
          <cell r="B1307" t="str">
            <v>Sony DVD±RW/±R AW-G170A-WG DL RAM RAL7035</v>
          </cell>
          <cell r="C1307">
            <v>0</v>
          </cell>
          <cell r="D1307">
            <v>29.9</v>
          </cell>
        </row>
        <row r="1308">
          <cell r="A1308">
            <v>2260170</v>
          </cell>
          <cell r="B1308" t="str">
            <v>DVD±RW/±R LH-20A1P-24C RAL7035</v>
          </cell>
          <cell r="C1308">
            <v>0</v>
          </cell>
          <cell r="D1308">
            <v>21</v>
          </cell>
        </row>
        <row r="1309">
          <cell r="A1309">
            <v>2260172</v>
          </cell>
          <cell r="B1309" t="str">
            <v>LiteOn DVD±RW/±R LH-20A1H-483C Ligr. LightScr. blk</v>
          </cell>
          <cell r="C1309">
            <v>0</v>
          </cell>
          <cell r="D1309">
            <v>31</v>
          </cell>
        </row>
        <row r="1310">
          <cell r="A1310">
            <v>2260173</v>
          </cell>
          <cell r="B1310" t="str">
            <v>Samsung DVD±RW/±R SH-S182D/BEWE  beige***</v>
          </cell>
          <cell r="C1310">
            <v>0</v>
          </cell>
          <cell r="D1310">
            <v>29</v>
          </cell>
        </row>
        <row r="1311">
          <cell r="A1311">
            <v>2260174</v>
          </cell>
          <cell r="B1311" t="str">
            <v>Samsung DVD±RW/±R [SATA] SH-S183A/BEWN  Beige***</v>
          </cell>
          <cell r="C1311">
            <v>0</v>
          </cell>
          <cell r="D1311">
            <v>24.9</v>
          </cell>
        </row>
        <row r="1312">
          <cell r="A1312">
            <v>2260179</v>
          </cell>
          <cell r="B1312" t="str">
            <v>LiteOn DVD±RW/±R [SATA] LH-20A1S-xxC Beige bulk</v>
          </cell>
          <cell r="C1312">
            <v>0</v>
          </cell>
          <cell r="D1312">
            <v>21.9</v>
          </cell>
        </row>
        <row r="1313">
          <cell r="A1313">
            <v>2260182</v>
          </cell>
          <cell r="B1313" t="str">
            <v>YY Philips DVD-ROM SPD2201FM/00 (16x/50x) Lichtgr.</v>
          </cell>
          <cell r="C1313">
            <v>0</v>
          </cell>
          <cell r="D1313">
            <v>21.9</v>
          </cell>
        </row>
        <row r="1314">
          <cell r="A1314">
            <v>2260183</v>
          </cell>
          <cell r="B1314" t="str">
            <v>Teac Slim Combo DW-224EC-83 (DVD/CDRW) BLACK</v>
          </cell>
          <cell r="C1314">
            <v>0</v>
          </cell>
          <cell r="D1314">
            <v>30</v>
          </cell>
        </row>
        <row r="1315">
          <cell r="A1315">
            <v>2260186</v>
          </cell>
          <cell r="B1315" t="str">
            <v>Samsung DVD±RW/±R [SATA] SH-S203B/BEWN  Beige</v>
          </cell>
          <cell r="C1315">
            <v>0</v>
          </cell>
          <cell r="D1315">
            <v>25.9</v>
          </cell>
        </row>
        <row r="1316">
          <cell r="A1316">
            <v>2260187</v>
          </cell>
          <cell r="B1316" t="str">
            <v>Samsung DVD±RW/±R [SATA] SH-S203D/BEBE  BLACK</v>
          </cell>
          <cell r="C1316">
            <v>0</v>
          </cell>
          <cell r="D1316">
            <v>23</v>
          </cell>
        </row>
        <row r="1317">
          <cell r="A1317">
            <v>2260191</v>
          </cell>
          <cell r="B1317" t="str">
            <v>CD-ROM Slim-Adapter ES&amp;S / Storz</v>
          </cell>
          <cell r="C1317">
            <v>34</v>
          </cell>
          <cell r="D1317">
            <v>8.5</v>
          </cell>
        </row>
        <row r="1318">
          <cell r="A1318">
            <v>2260194</v>
          </cell>
          <cell r="B1318" t="str">
            <v>Samsung DVD±RW/±R [SATA] SH-S203D/BEWE  Beige</v>
          </cell>
          <cell r="C1318">
            <v>0</v>
          </cell>
          <cell r="D1318">
            <v>24.9</v>
          </cell>
        </row>
        <row r="1319">
          <cell r="A1319">
            <v>2260195</v>
          </cell>
          <cell r="B1319" t="str">
            <v>LiteOn DVD±RW/±R [SATA] LH-20A1S New-White</v>
          </cell>
          <cell r="C1319">
            <v>0</v>
          </cell>
          <cell r="D1319">
            <v>29</v>
          </cell>
        </row>
        <row r="1320">
          <cell r="A1320">
            <v>2260197</v>
          </cell>
          <cell r="B1320" t="str">
            <v>LiteOn DVD±RW/±R [SATA] iHAS120-13 BLACK bulk</v>
          </cell>
          <cell r="C1320">
            <v>0</v>
          </cell>
          <cell r="D1320">
            <v>19</v>
          </cell>
        </row>
        <row r="1321">
          <cell r="A1321">
            <v>2260198</v>
          </cell>
          <cell r="B1321" t="str">
            <v>Samsung DVD±RW/±R [SATA] SH-S223F/BEBE  BLACK</v>
          </cell>
          <cell r="C1321">
            <v>0</v>
          </cell>
          <cell r="D1321">
            <v>21.5</v>
          </cell>
        </row>
        <row r="1322">
          <cell r="A1322">
            <v>2260199</v>
          </cell>
          <cell r="B1322" t="str">
            <v>Samsung DVD±RW/±R [SATA] SH-S223F/BEWE Beige</v>
          </cell>
          <cell r="C1322">
            <v>0</v>
          </cell>
          <cell r="D1322">
            <v>15</v>
          </cell>
        </row>
        <row r="1323">
          <cell r="A1323">
            <v>2260201</v>
          </cell>
          <cell r="B1323" t="str">
            <v>Samsung DVD±RW/±R Slim SN-S083B/C/BEBE [SATA]BLACK</v>
          </cell>
          <cell r="C1323">
            <v>0</v>
          </cell>
          <cell r="D1323">
            <v>39</v>
          </cell>
        </row>
        <row r="1324">
          <cell r="A1324">
            <v>2260205</v>
          </cell>
          <cell r="B1324" t="str">
            <v>LiteOn DVD±RW/±R [PATA] iHAP122-19 BLACK</v>
          </cell>
          <cell r="C1324">
            <v>0</v>
          </cell>
          <cell r="D1324">
            <v>24</v>
          </cell>
        </row>
        <row r="1325">
          <cell r="A1325">
            <v>2260207</v>
          </cell>
          <cell r="B1325" t="str">
            <v>Blende weiß für DVD Laufwerk</v>
          </cell>
          <cell r="C1325">
            <v>0</v>
          </cell>
          <cell r="D1325">
            <v>2.5</v>
          </cell>
        </row>
        <row r="1326">
          <cell r="A1326">
            <v>2260208</v>
          </cell>
          <cell r="B1326" t="str">
            <v>LiteOn DVD±RW/±R [SATA] iHAS122-1X BLACK bulk</v>
          </cell>
          <cell r="C1326">
            <v>0</v>
          </cell>
          <cell r="D1326">
            <v>21.5</v>
          </cell>
        </row>
        <row r="1327">
          <cell r="A1327">
            <v>2260210</v>
          </cell>
          <cell r="B1327" t="str">
            <v>Samsung DVD±RW/±R [PATA] SH-S222A/BEWE  Beige***</v>
          </cell>
          <cell r="C1327">
            <v>0</v>
          </cell>
          <cell r="D1327">
            <v>23</v>
          </cell>
        </row>
        <row r="1328">
          <cell r="A1328">
            <v>2260213</v>
          </cell>
          <cell r="B1328" t="str">
            <v>Samsung DVD±RW/±R [SATA] SH-S223B/BEBE  BLACK</v>
          </cell>
          <cell r="C1328">
            <v>0</v>
          </cell>
          <cell r="D1328">
            <v>20</v>
          </cell>
        </row>
        <row r="1329">
          <cell r="A1329">
            <v>2260225</v>
          </cell>
          <cell r="B1329" t="str">
            <v>LiteOn DVD±RW/±R [PATA] iHAP122-04 BLACK***</v>
          </cell>
          <cell r="C1329">
            <v>0</v>
          </cell>
          <cell r="D1329">
            <v>14.9</v>
          </cell>
        </row>
        <row r="1330">
          <cell r="A1330">
            <v>2260229</v>
          </cell>
          <cell r="B1330" t="str">
            <v>Laufwerk DVD±RW SATA IHAS122-19</v>
          </cell>
          <cell r="C1330">
            <v>0</v>
          </cell>
          <cell r="D1330">
            <v>16</v>
          </cell>
        </row>
        <row r="1331">
          <cell r="A1331">
            <v>2260232</v>
          </cell>
          <cell r="B1331" t="str">
            <v>Samsung DVD±RW/±R [SATA] SH-S223C/BEBE  BLACK</v>
          </cell>
          <cell r="C1331">
            <v>0</v>
          </cell>
          <cell r="D1331">
            <v>13.9</v>
          </cell>
        </row>
        <row r="1332">
          <cell r="A1332">
            <v>2260233</v>
          </cell>
          <cell r="B1332" t="str">
            <v>Samsung DVD±RW/±R [SATA] SH-S223C/BEBE  BLACK</v>
          </cell>
          <cell r="C1332">
            <v>0</v>
          </cell>
          <cell r="D1332">
            <v>14</v>
          </cell>
        </row>
        <row r="1333">
          <cell r="A1333">
            <v>2260234</v>
          </cell>
          <cell r="B1333" t="str">
            <v>Laufwerk DVD±RW SATA iHAS124-19 schwarz</v>
          </cell>
          <cell r="C1333">
            <v>0</v>
          </cell>
          <cell r="D1333">
            <v>14</v>
          </cell>
        </row>
        <row r="1334">
          <cell r="A1334">
            <v>2260235</v>
          </cell>
          <cell r="B1334" t="str">
            <v>Samsung DVD±RW/±R Slim SN-S083F BEBE [SATA] BLACK</v>
          </cell>
          <cell r="C1334">
            <v>0</v>
          </cell>
          <cell r="D1334">
            <v>25.5</v>
          </cell>
        </row>
        <row r="1335">
          <cell r="A1335">
            <v>2260237</v>
          </cell>
          <cell r="B1335" t="str">
            <v>LiteOn DVD±RW/±R [SATA] IHAS122-19 bulk BLACK</v>
          </cell>
          <cell r="C1335">
            <v>0</v>
          </cell>
          <cell r="D1335">
            <v>15</v>
          </cell>
        </row>
        <row r="1336">
          <cell r="A1336">
            <v>2260240</v>
          </cell>
          <cell r="B1336" t="str">
            <v>LiteOn Slim DVD±RW/±R [SATA] DS-8A3S BLACK</v>
          </cell>
          <cell r="C1336">
            <v>0</v>
          </cell>
          <cell r="D1336">
            <v>29</v>
          </cell>
        </row>
        <row r="1337">
          <cell r="A1337">
            <v>2260241</v>
          </cell>
          <cell r="B1337" t="str">
            <v>LiteOn DVD±RW/±R [PATA] DH-22A9P BLACK bulk</v>
          </cell>
          <cell r="C1337">
            <v>0</v>
          </cell>
          <cell r="D1337">
            <v>15</v>
          </cell>
        </row>
        <row r="1338">
          <cell r="A1338">
            <v>2260242</v>
          </cell>
          <cell r="B1338" t="str">
            <v>Laufwerk DVD±RW SATA IHAS124-19</v>
          </cell>
          <cell r="C1338">
            <v>1</v>
          </cell>
          <cell r="D1338">
            <v>14.5</v>
          </cell>
        </row>
        <row r="1339">
          <cell r="A1339">
            <v>2260249</v>
          </cell>
          <cell r="B1339" t="str">
            <v>LiteOn DVD±RW/±R [SATA] DH-16AAS BLACK bulk</v>
          </cell>
          <cell r="C1339">
            <v>0</v>
          </cell>
          <cell r="D1339">
            <v>11.5</v>
          </cell>
        </row>
        <row r="1340">
          <cell r="A1340">
            <v>2260251</v>
          </cell>
          <cell r="B1340" t="str">
            <v>DVD±RW/±R SATA (weiße Blende)</v>
          </cell>
          <cell r="C1340">
            <v>0</v>
          </cell>
          <cell r="D1340">
            <v>11.5</v>
          </cell>
        </row>
        <row r="1341">
          <cell r="A1341">
            <v>2260252</v>
          </cell>
          <cell r="B1341" t="str">
            <v>LiteOn DVD±RW/±R [SATA] DH-22A8S BLACK bulk</v>
          </cell>
          <cell r="C1341">
            <v>0</v>
          </cell>
          <cell r="D1341">
            <v>13.16</v>
          </cell>
        </row>
        <row r="1342">
          <cell r="A1342">
            <v>2260257</v>
          </cell>
          <cell r="B1342" t="str">
            <v>LiteOn DVD±RW/±R [SATA] iHAS122-18B BLACK bulk</v>
          </cell>
          <cell r="C1342">
            <v>4</v>
          </cell>
          <cell r="D1342">
            <v>18.66</v>
          </cell>
        </row>
        <row r="1343">
          <cell r="A1343">
            <v>2280040</v>
          </cell>
          <cell r="B1343" t="str">
            <v>DVD ROH+R  4.7GB/ 16x  Verbatim  print. (50er Sp.)</v>
          </cell>
          <cell r="C1343">
            <v>0</v>
          </cell>
          <cell r="D1343">
            <v>28</v>
          </cell>
        </row>
        <row r="1344">
          <cell r="A1344">
            <v>2290000</v>
          </cell>
          <cell r="B1344" t="str">
            <v>Y RadiSys PL35Q S775 Q35/VGA/SATA/GBL/µATX Storz</v>
          </cell>
          <cell r="C1344">
            <v>22</v>
          </cell>
          <cell r="D1344">
            <v>167.2</v>
          </cell>
        </row>
        <row r="1345">
          <cell r="A1345">
            <v>2290001</v>
          </cell>
          <cell r="B1345" t="str">
            <v>Schnittstellenblende Radisys PL35Q</v>
          </cell>
          <cell r="C1345">
            <v>376</v>
          </cell>
          <cell r="D1345">
            <v>1.26</v>
          </cell>
        </row>
        <row r="1346">
          <cell r="A1346">
            <v>2290002</v>
          </cell>
          <cell r="B1346" t="str">
            <v>Mainboard Radisys PL35Q PLVDS03-0-1</v>
          </cell>
          <cell r="C1346">
            <v>113</v>
          </cell>
          <cell r="D1346">
            <v>157.81</v>
          </cell>
        </row>
        <row r="1347">
          <cell r="A1347">
            <v>2300009</v>
          </cell>
          <cell r="B1347" t="str">
            <v>IO serielle Karte PCI Low Profile 4027AL 1-fach</v>
          </cell>
          <cell r="C1347">
            <v>0</v>
          </cell>
          <cell r="D1347">
            <v>15</v>
          </cell>
        </row>
        <row r="1348">
          <cell r="A1348">
            <v>2300014</v>
          </cell>
          <cell r="B1348" t="str">
            <v>IO serielle Karte PCI Low Profile 4037AL 2-fach</v>
          </cell>
          <cell r="C1348">
            <v>0</v>
          </cell>
          <cell r="D1348">
            <v>19</v>
          </cell>
        </row>
        <row r="1349">
          <cell r="A1349">
            <v>2300028</v>
          </cell>
          <cell r="B1349" t="str">
            <v>IO DeLock PCIe  2x seriell RS-232 + 1x parallel</v>
          </cell>
          <cell r="C1349">
            <v>0</v>
          </cell>
          <cell r="D1349">
            <v>19</v>
          </cell>
        </row>
        <row r="1350">
          <cell r="A1350">
            <v>2300030</v>
          </cell>
          <cell r="B1350" t="str">
            <v>IO USB 2.0 PCI Karte 4+1 Port (DeLock)</v>
          </cell>
          <cell r="C1350">
            <v>0</v>
          </cell>
          <cell r="D1350">
            <v>7</v>
          </cell>
        </row>
        <row r="1351">
          <cell r="A1351">
            <v>2300032</v>
          </cell>
          <cell r="B1351" t="str">
            <v>IO DeLock PCI Karte 1x parallel</v>
          </cell>
          <cell r="C1351">
            <v>0</v>
          </cell>
          <cell r="D1351">
            <v>8.5</v>
          </cell>
        </row>
        <row r="1352">
          <cell r="A1352">
            <v>2300038</v>
          </cell>
          <cell r="B1352" t="str">
            <v>IO DeLock PCI Karte 4+1 USB 2.0 + 2+1 Firewire A</v>
          </cell>
          <cell r="C1352">
            <v>0</v>
          </cell>
          <cell r="D1352">
            <v>11.77</v>
          </cell>
        </row>
        <row r="1353">
          <cell r="A1353">
            <v>2300039</v>
          </cell>
          <cell r="B1353" t="str">
            <v>IO DeLock PCIe  4+1 Port USB 2.0</v>
          </cell>
          <cell r="C1353">
            <v>0</v>
          </cell>
          <cell r="D1353">
            <v>22.9</v>
          </cell>
        </row>
        <row r="1354">
          <cell r="A1354">
            <v>2300041</v>
          </cell>
          <cell r="B1354" t="str">
            <v>IO DeLock PCIe  FireWire Combo 2x 1394B 1x1394A</v>
          </cell>
          <cell r="C1354">
            <v>0</v>
          </cell>
          <cell r="D1354">
            <v>39</v>
          </cell>
        </row>
        <row r="1355">
          <cell r="A1355">
            <v>2300044</v>
          </cell>
          <cell r="B1355" t="str">
            <v>IO DeLock PCI Karte 2+1 USB2.0 + 2+1 Firewire A</v>
          </cell>
          <cell r="C1355">
            <v>0</v>
          </cell>
          <cell r="D1355">
            <v>20</v>
          </cell>
        </row>
        <row r="1356">
          <cell r="A1356">
            <v>2300045</v>
          </cell>
          <cell r="B1356" t="str">
            <v>IO DeLock PCI Karte 3+1 Firewire A inkl. LowPro</v>
          </cell>
          <cell r="C1356">
            <v>0</v>
          </cell>
          <cell r="D1356">
            <v>8.5</v>
          </cell>
        </row>
        <row r="1357">
          <cell r="A1357">
            <v>2300055</v>
          </cell>
          <cell r="B1357" t="str">
            <v>IO DeLock PCI Karte 3+1 Port USB 2.0 inkl. LowPro</v>
          </cell>
          <cell r="C1357">
            <v>0</v>
          </cell>
          <cell r="D1357">
            <v>0</v>
          </cell>
        </row>
        <row r="1358">
          <cell r="A1358">
            <v>2300059</v>
          </cell>
          <cell r="B1358" t="str">
            <v>Kabel SATA Slim nach SATA 7pin+2pin Strom</v>
          </cell>
          <cell r="C1358">
            <v>0</v>
          </cell>
          <cell r="D1358">
            <v>3.09</v>
          </cell>
        </row>
        <row r="1359">
          <cell r="A1359">
            <v>2300064</v>
          </cell>
          <cell r="B1359" t="str">
            <v>IO DeLock PCIe  4x seriell RS-232 inkl. LP-Bleche</v>
          </cell>
          <cell r="C1359">
            <v>0</v>
          </cell>
          <cell r="D1359">
            <v>29.9</v>
          </cell>
        </row>
        <row r="1360">
          <cell r="A1360">
            <v>2300068</v>
          </cell>
          <cell r="B1360" t="str">
            <v>IO PCIe Firewire 2x1394A extern</v>
          </cell>
          <cell r="C1360">
            <v>0</v>
          </cell>
          <cell r="D1360">
            <v>19</v>
          </cell>
        </row>
        <row r="1361">
          <cell r="A1361">
            <v>2300070</v>
          </cell>
          <cell r="B1361" t="str">
            <v>IO Equip PCI Karte 4+1 USB 2.0***</v>
          </cell>
          <cell r="C1361">
            <v>0</v>
          </cell>
          <cell r="D1361">
            <v>3.75</v>
          </cell>
        </row>
        <row r="1362">
          <cell r="A1362">
            <v>2300071</v>
          </cell>
          <cell r="B1362" t="str">
            <v>IO Equip PCI Karte 4+1 USB2.0/2+1 Firewire Combo**</v>
          </cell>
          <cell r="C1362">
            <v>0</v>
          </cell>
          <cell r="D1362">
            <v>5.5</v>
          </cell>
        </row>
        <row r="1363">
          <cell r="A1363">
            <v>2300084</v>
          </cell>
          <cell r="B1363" t="str">
            <v>IO DeLock PCIe Karte 2x Firewire A</v>
          </cell>
          <cell r="C1363">
            <v>0</v>
          </cell>
          <cell r="D1363">
            <v>69</v>
          </cell>
        </row>
        <row r="1364">
          <cell r="A1364">
            <v>2300085</v>
          </cell>
          <cell r="B1364" t="str">
            <v>Adapter Compact Flash 2.5" Rahmen SATA</v>
          </cell>
          <cell r="C1364">
            <v>4</v>
          </cell>
          <cell r="D1364">
            <v>1.65</v>
          </cell>
        </row>
        <row r="1365">
          <cell r="A1365">
            <v>2300100</v>
          </cell>
          <cell r="B1365" t="str">
            <v>DeLock Slotblech 1x eSATA-Port extern</v>
          </cell>
          <cell r="C1365">
            <v>21</v>
          </cell>
          <cell r="D1365">
            <v>0.45</v>
          </cell>
        </row>
        <row r="1366">
          <cell r="A1366">
            <v>2310028</v>
          </cell>
          <cell r="B1366" t="str">
            <v>Adaptec 29160 PCI Single      U160 SCSI ***</v>
          </cell>
          <cell r="C1366">
            <v>0</v>
          </cell>
          <cell r="D1366">
            <v>115</v>
          </cell>
        </row>
        <row r="1367">
          <cell r="A1367">
            <v>2310060</v>
          </cell>
          <cell r="B1367" t="str">
            <v>Adaptec 29320A-R PCI Single U320 SCSI</v>
          </cell>
          <cell r="C1367">
            <v>0</v>
          </cell>
          <cell r="D1367">
            <v>139</v>
          </cell>
        </row>
        <row r="1368">
          <cell r="A1368">
            <v>2310071</v>
          </cell>
          <cell r="B1368" t="str">
            <v>Adaptec HBA 29160 PCI bulk RoHS  U160</v>
          </cell>
          <cell r="C1368">
            <v>0</v>
          </cell>
          <cell r="D1368">
            <v>99</v>
          </cell>
        </row>
        <row r="1369">
          <cell r="A1369">
            <v>2310074</v>
          </cell>
          <cell r="B1369" t="str">
            <v>Adaptec HBA 29320A-R PCI bulk RoHS U320</v>
          </cell>
          <cell r="C1369">
            <v>0</v>
          </cell>
          <cell r="D1369">
            <v>109</v>
          </cell>
        </row>
        <row r="1370">
          <cell r="A1370">
            <v>2310075</v>
          </cell>
          <cell r="B1370" t="str">
            <v>Adaptec HBA 29320ALP-R PCI-X bulk RoHS U320</v>
          </cell>
          <cell r="C1370">
            <v>0</v>
          </cell>
          <cell r="D1370">
            <v>85</v>
          </cell>
        </row>
        <row r="1371">
          <cell r="A1371">
            <v>2310076</v>
          </cell>
          <cell r="B1371" t="str">
            <v>Adaptec HBA 39320A-R PCI bulk RoHS Dual-U320</v>
          </cell>
          <cell r="C1371">
            <v>0</v>
          </cell>
          <cell r="D1371">
            <v>149</v>
          </cell>
        </row>
        <row r="1372">
          <cell r="A1372">
            <v>2310078</v>
          </cell>
          <cell r="B1372" t="str">
            <v>Adaptec HBA 29320LPE PCIe x1 sgl. RoHS U320</v>
          </cell>
          <cell r="C1372">
            <v>0</v>
          </cell>
          <cell r="D1372">
            <v>159</v>
          </cell>
        </row>
        <row r="1373">
          <cell r="A1373">
            <v>2310101</v>
          </cell>
          <cell r="B1373" t="str">
            <v>Adaptec Raid SATA 1210 SA KIT</v>
          </cell>
          <cell r="C1373">
            <v>0</v>
          </cell>
          <cell r="D1373">
            <v>42</v>
          </cell>
        </row>
        <row r="1374">
          <cell r="A1374">
            <v>2310103</v>
          </cell>
          <cell r="B1374" t="str">
            <v>Adaptec Raid SATA 1210 SA KIT RoHS</v>
          </cell>
          <cell r="C1374">
            <v>0</v>
          </cell>
          <cell r="D1374">
            <v>48</v>
          </cell>
        </row>
        <row r="1375">
          <cell r="A1375">
            <v>2310124</v>
          </cell>
          <cell r="B1375" t="str">
            <v>Adaptec Raid SATA II 1420 SA KIT RoHS</v>
          </cell>
          <cell r="C1375">
            <v>0</v>
          </cell>
          <cell r="D1375">
            <v>72</v>
          </cell>
        </row>
        <row r="1376">
          <cell r="A1376">
            <v>2310125</v>
          </cell>
          <cell r="B1376" t="str">
            <v>Adaptec Raid SATA II 1220 SA KIT PCIe RoHS</v>
          </cell>
          <cell r="C1376">
            <v>0</v>
          </cell>
          <cell r="D1376">
            <v>36</v>
          </cell>
        </row>
        <row r="1377">
          <cell r="A1377">
            <v>2310217</v>
          </cell>
          <cell r="B1377" t="str">
            <v>Adaptec RAID 5405 SAS 256MB PCIe x8 Sgl.</v>
          </cell>
          <cell r="C1377">
            <v>0</v>
          </cell>
          <cell r="D1377">
            <v>269</v>
          </cell>
        </row>
        <row r="1378">
          <cell r="A1378">
            <v>2310220</v>
          </cell>
          <cell r="B1378" t="str">
            <v>Adaptec RAID 5805 SAS 512MB PCIe KIT</v>
          </cell>
          <cell r="C1378">
            <v>0</v>
          </cell>
          <cell r="D1378">
            <v>369</v>
          </cell>
        </row>
        <row r="1379">
          <cell r="A1379">
            <v>2310221</v>
          </cell>
          <cell r="B1379" t="str">
            <v>Adaptec RAID 5805 SAS 512MB PCIe x8 Sgl.</v>
          </cell>
          <cell r="C1379">
            <v>0</v>
          </cell>
          <cell r="D1379">
            <v>369</v>
          </cell>
        </row>
        <row r="1380">
          <cell r="A1380">
            <v>2310233</v>
          </cell>
          <cell r="B1380" t="str">
            <v>Adaptec RAID 6405 SAS 512MB PCIe x8 Sgl.</v>
          </cell>
          <cell r="C1380">
            <v>0</v>
          </cell>
          <cell r="D1380">
            <v>100</v>
          </cell>
        </row>
        <row r="1381">
          <cell r="A1381">
            <v>2310235</v>
          </cell>
          <cell r="B1381" t="str">
            <v>Adaptec RAID 6805 SAS 512MB PCIe x8 Sgl.</v>
          </cell>
          <cell r="C1381">
            <v>0</v>
          </cell>
          <cell r="D1381">
            <v>129.5</v>
          </cell>
        </row>
        <row r="1382">
          <cell r="A1382">
            <v>2318804</v>
          </cell>
          <cell r="B1382" t="str">
            <v>LSI 20160 Ultra160-SCSI PCI Low-Profile single</v>
          </cell>
          <cell r="C1382">
            <v>0</v>
          </cell>
          <cell r="D1382">
            <v>81.2</v>
          </cell>
        </row>
        <row r="1383">
          <cell r="A1383">
            <v>2320040</v>
          </cell>
          <cell r="B1383" t="str">
            <v>Kabel SCSI int./ext. U320 1x HD Bracket ***</v>
          </cell>
          <cell r="C1383">
            <v>0</v>
          </cell>
          <cell r="D1383">
            <v>35</v>
          </cell>
        </row>
        <row r="1384">
          <cell r="A1384">
            <v>2320290</v>
          </cell>
          <cell r="B1384" t="str">
            <v>Vortex PCI64 U320 GDT8514RZ 1+1-CH, RAID 0/1/4/5/1</v>
          </cell>
          <cell r="C1384">
            <v>0</v>
          </cell>
          <cell r="D1384">
            <v>485</v>
          </cell>
        </row>
        <row r="1385">
          <cell r="A1385">
            <v>2320291</v>
          </cell>
          <cell r="B1385" t="str">
            <v>Vortex PCI64 U320GDT8114RZ 1+1CH,RAID 0/1, 128 MB</v>
          </cell>
          <cell r="C1385">
            <v>0</v>
          </cell>
          <cell r="D1385">
            <v>399</v>
          </cell>
        </row>
        <row r="1386">
          <cell r="A1386">
            <v>2320292</v>
          </cell>
          <cell r="B1386" t="str">
            <v>Vortex PCI64 U320 2CH GDT8124RZ max.256MB***</v>
          </cell>
          <cell r="C1386">
            <v>0</v>
          </cell>
          <cell r="D1386">
            <v>539</v>
          </cell>
        </row>
        <row r="1387">
          <cell r="A1387">
            <v>2320293</v>
          </cell>
          <cell r="B1387" t="str">
            <v>Vortex PCI64 U320GDT8524RZ 2-CH,  RAID 0/1/4/5/10,</v>
          </cell>
          <cell r="C1387">
            <v>0</v>
          </cell>
          <cell r="D1387">
            <v>669</v>
          </cell>
        </row>
        <row r="1388">
          <cell r="A1388">
            <v>2320295</v>
          </cell>
          <cell r="B1388" t="str">
            <v>Vortex PCI64 U320GDT8524RZ+BBU 2-CH, RAID 0/1/4/5/</v>
          </cell>
          <cell r="C1388">
            <v>0</v>
          </cell>
          <cell r="D1388">
            <v>889</v>
          </cell>
        </row>
        <row r="1389">
          <cell r="A1389">
            <v>2320298</v>
          </cell>
          <cell r="B1389" t="str">
            <v>Vortex PCI-X U320 2CH ICP9024RO 256MB KIT</v>
          </cell>
          <cell r="C1389">
            <v>0</v>
          </cell>
          <cell r="D1389">
            <v>549</v>
          </cell>
        </row>
        <row r="1390">
          <cell r="A1390">
            <v>2320301</v>
          </cell>
          <cell r="B1390" t="str">
            <v>Vortex PCI64 SATA 4CH GDT8546RZ 128MB</v>
          </cell>
          <cell r="C1390">
            <v>0</v>
          </cell>
          <cell r="D1390">
            <v>345.93</v>
          </cell>
        </row>
        <row r="1391">
          <cell r="A1391">
            <v>2320305</v>
          </cell>
          <cell r="B1391" t="str">
            <v>Adaptec 5xx5Bx Battery Backup Unit 800</v>
          </cell>
          <cell r="C1391">
            <v>0</v>
          </cell>
          <cell r="D1391">
            <v>95</v>
          </cell>
        </row>
        <row r="1392">
          <cell r="A1392">
            <v>2320306</v>
          </cell>
          <cell r="B1392" t="str">
            <v>Adaptec 5xx5Bx Battery Backup Unit Remote 800T</v>
          </cell>
          <cell r="C1392">
            <v>0</v>
          </cell>
          <cell r="D1392">
            <v>89</v>
          </cell>
        </row>
        <row r="1393">
          <cell r="A1393">
            <v>2320307</v>
          </cell>
          <cell r="B1393" t="str">
            <v>Adaptec 6xx5B Flash Unit 600</v>
          </cell>
          <cell r="C1393">
            <v>0</v>
          </cell>
          <cell r="D1393">
            <v>60</v>
          </cell>
        </row>
        <row r="1394">
          <cell r="A1394">
            <v>2320312</v>
          </cell>
          <cell r="B1394" t="str">
            <v>Vortex PCI-X SATAII 8CH ICP9087MA 256MB KIT</v>
          </cell>
          <cell r="C1394">
            <v>0</v>
          </cell>
          <cell r="D1394">
            <v>519</v>
          </cell>
        </row>
        <row r="1395">
          <cell r="A1395">
            <v>2320988</v>
          </cell>
          <cell r="B1395" t="str">
            <v>Vortex PCI-X U320 ICP9014RO 256MB bulk</v>
          </cell>
          <cell r="C1395">
            <v>0</v>
          </cell>
          <cell r="D1395">
            <v>349</v>
          </cell>
        </row>
        <row r="1396">
          <cell r="A1396">
            <v>2320989</v>
          </cell>
          <cell r="B1396" t="str">
            <v>Vortex PCI-X U320 ICP9024RO 256MB bulk</v>
          </cell>
          <cell r="C1396">
            <v>0</v>
          </cell>
          <cell r="D1396">
            <v>479</v>
          </cell>
        </row>
        <row r="1397">
          <cell r="A1397">
            <v>2320999</v>
          </cell>
          <cell r="B1397" t="str">
            <v>T Vortex PCI-E SATA/SAS 4CH ICP5045BL 256MB bulk</v>
          </cell>
          <cell r="C1397">
            <v>0</v>
          </cell>
          <cell r="D1397">
            <v>269</v>
          </cell>
        </row>
        <row r="1398">
          <cell r="A1398">
            <v>2321000</v>
          </cell>
          <cell r="B1398" t="str">
            <v>T Vortex PCI-E SATA/SAS 8CH ICP5085BL 256MB bulk</v>
          </cell>
          <cell r="C1398">
            <v>0</v>
          </cell>
          <cell r="D1398">
            <v>369</v>
          </cell>
        </row>
        <row r="1399">
          <cell r="A1399">
            <v>2321003</v>
          </cell>
          <cell r="B1399" t="str">
            <v>Vortex PCI-E SAS 4CH ICP5045BL 256MB KIT</v>
          </cell>
          <cell r="C1399">
            <v>0</v>
          </cell>
          <cell r="D1399">
            <v>269</v>
          </cell>
        </row>
        <row r="1400">
          <cell r="A1400">
            <v>2321004</v>
          </cell>
          <cell r="B1400" t="str">
            <v>Vortex PCIe SATA/SAS 8CH ICP5085BL 256MB KIT</v>
          </cell>
          <cell r="C1400">
            <v>0</v>
          </cell>
          <cell r="D1400">
            <v>349</v>
          </cell>
        </row>
        <row r="1401">
          <cell r="A1401">
            <v>234</v>
          </cell>
          <cell r="B1401" t="str">
            <v>24 Monate Pickup Notebook</v>
          </cell>
          <cell r="C1401">
            <v>0</v>
          </cell>
          <cell r="D1401">
            <v>19</v>
          </cell>
        </row>
        <row r="1402">
          <cell r="A1402">
            <v>2340111</v>
          </cell>
          <cell r="B1402" t="str">
            <v>Wechselrahmen 3ware 3-in-2 Drive Cage SATA***</v>
          </cell>
          <cell r="C1402">
            <v>0</v>
          </cell>
          <cell r="D1402">
            <v>135</v>
          </cell>
        </row>
        <row r="1403">
          <cell r="A1403">
            <v>2340307</v>
          </cell>
          <cell r="B1403" t="str">
            <v>3ware 8006-2LP SATA 2 HDD KIT</v>
          </cell>
          <cell r="C1403">
            <v>0</v>
          </cell>
          <cell r="D1403">
            <v>95</v>
          </cell>
        </row>
        <row r="1404">
          <cell r="A1404">
            <v>2340401</v>
          </cell>
          <cell r="B1404" t="str">
            <v>3ware 9500S-4LP SATA 4 HDD KIT</v>
          </cell>
          <cell r="C1404">
            <v>0</v>
          </cell>
          <cell r="D1404">
            <v>265</v>
          </cell>
        </row>
        <row r="1405">
          <cell r="A1405">
            <v>2340417</v>
          </cell>
          <cell r="B1405" t="str">
            <v>3ware CBL-SFF8087OCF SATA Kabel 1m</v>
          </cell>
          <cell r="C1405">
            <v>0</v>
          </cell>
          <cell r="D1405">
            <v>15</v>
          </cell>
        </row>
        <row r="1406">
          <cell r="A1406">
            <v>2340424</v>
          </cell>
          <cell r="B1406" t="str">
            <v>3ware CBL-SFF8087OCF SATA Kabel 0,5m</v>
          </cell>
          <cell r="C1406">
            <v>0</v>
          </cell>
          <cell r="D1406">
            <v>12</v>
          </cell>
        </row>
        <row r="1407">
          <cell r="A1407">
            <v>2340435</v>
          </cell>
          <cell r="B1407" t="str">
            <v>3ware 9650SE- 2LP PCI-E SATA-II 2 HDD KIT</v>
          </cell>
          <cell r="C1407">
            <v>0</v>
          </cell>
          <cell r="D1407">
            <v>119</v>
          </cell>
        </row>
        <row r="1408">
          <cell r="A1408">
            <v>2340436</v>
          </cell>
          <cell r="B1408" t="str">
            <v>3ware 9550/9650 Battery Backup Unit</v>
          </cell>
          <cell r="C1408">
            <v>0</v>
          </cell>
          <cell r="D1408">
            <v>85</v>
          </cell>
        </row>
        <row r="1409">
          <cell r="A1409">
            <v>2340437</v>
          </cell>
          <cell r="B1409" t="str">
            <v>3ware 9650SE- 2LP PCIe SATA-II 2 HDD bulk</v>
          </cell>
          <cell r="C1409">
            <v>0</v>
          </cell>
          <cell r="D1409">
            <v>133</v>
          </cell>
        </row>
        <row r="1410">
          <cell r="A1410">
            <v>2340438</v>
          </cell>
          <cell r="B1410" t="str">
            <v>3ware 9650SE- 4LPML PCIe SATA-II 4 HDD bulk</v>
          </cell>
          <cell r="C1410">
            <v>0</v>
          </cell>
          <cell r="D1410">
            <v>215</v>
          </cell>
        </row>
        <row r="1411">
          <cell r="A1411">
            <v>2420216</v>
          </cell>
          <cell r="B1411" t="str">
            <v>HDLSCSI 73.4GB Seagate ST373207LW/LW/10.000rpm</v>
          </cell>
          <cell r="C1411">
            <v>0</v>
          </cell>
          <cell r="D1411">
            <v>140</v>
          </cell>
        </row>
        <row r="1412">
          <cell r="A1412">
            <v>2420222</v>
          </cell>
          <cell r="B1412" t="str">
            <v>HDSAS 3.5"  73.4GB Seagate ST373455SS / 15.000rpm</v>
          </cell>
          <cell r="C1412">
            <v>0</v>
          </cell>
          <cell r="D1412">
            <v>109.5</v>
          </cell>
        </row>
        <row r="1413">
          <cell r="A1413">
            <v>2420354</v>
          </cell>
          <cell r="B1413" t="str">
            <v>HDLSCSI 300.0 GB Seagate ST3300007LC/SCA/10.000</v>
          </cell>
          <cell r="C1413">
            <v>0</v>
          </cell>
          <cell r="D1413">
            <v>295</v>
          </cell>
        </row>
        <row r="1414">
          <cell r="A1414">
            <v>2420358</v>
          </cell>
          <cell r="B1414" t="str">
            <v>HDSAS 3.5" 300.0 GB Seagate ST3300655SS / 15.000</v>
          </cell>
          <cell r="C1414">
            <v>0</v>
          </cell>
          <cell r="D1414">
            <v>182.58</v>
          </cell>
        </row>
        <row r="1415">
          <cell r="A1415">
            <v>2420359</v>
          </cell>
          <cell r="B1415" t="str">
            <v>HDSAS 3.5" 400.0 GB Seagate ST3400755SS / 10.000##</v>
          </cell>
          <cell r="C1415">
            <v>0</v>
          </cell>
          <cell r="D1415">
            <v>260</v>
          </cell>
        </row>
        <row r="1416">
          <cell r="A1416">
            <v>2420360</v>
          </cell>
          <cell r="B1416" t="str">
            <v>HDSAS 3.5" 450.0 GB Seagate ST3450856SS / 15.000##</v>
          </cell>
          <cell r="C1416">
            <v>0</v>
          </cell>
          <cell r="D1416">
            <v>265</v>
          </cell>
        </row>
        <row r="1417">
          <cell r="A1417">
            <v>2420361</v>
          </cell>
          <cell r="B1417" t="str">
            <v>HDSAS 3.5" 500.0 GB Seagate ST3500620SS / 7.200##</v>
          </cell>
          <cell r="C1417">
            <v>0</v>
          </cell>
          <cell r="D1417">
            <v>94.86</v>
          </cell>
        </row>
        <row r="1418">
          <cell r="A1418">
            <v>2420363</v>
          </cell>
          <cell r="B1418" t="str">
            <v>HDSAS 3.5" 300.0 GB Seagate/DELL ST3300656SS/15K</v>
          </cell>
          <cell r="C1418">
            <v>0</v>
          </cell>
          <cell r="D1418">
            <v>224.5</v>
          </cell>
        </row>
        <row r="1419">
          <cell r="A1419">
            <v>2420365</v>
          </cell>
          <cell r="B1419" t="str">
            <v>HDSAS 3.5" 600.0 GB Seagate ST3600057SS / 15.000##</v>
          </cell>
          <cell r="C1419">
            <v>0</v>
          </cell>
          <cell r="D1419">
            <v>274.5</v>
          </cell>
        </row>
        <row r="1420">
          <cell r="A1420">
            <v>2420366</v>
          </cell>
          <cell r="B1420" t="str">
            <v>HDSAS 3.5"  1TB Seagate ST31000640SS / 7.200 ###</v>
          </cell>
          <cell r="C1420">
            <v>0</v>
          </cell>
          <cell r="D1420">
            <v>139</v>
          </cell>
        </row>
        <row r="1421">
          <cell r="A1421">
            <v>2420367</v>
          </cell>
          <cell r="B1421" t="str">
            <v>HDSAS 3.5" 450.0 GB Seagate ST3450857SS / 15.000##</v>
          </cell>
          <cell r="C1421">
            <v>0</v>
          </cell>
          <cell r="D1421">
            <v>100</v>
          </cell>
        </row>
        <row r="1422">
          <cell r="A1422">
            <v>2420368</v>
          </cell>
          <cell r="B1422" t="str">
            <v>HDSAS 3.5" 300.0 GB Seagate ST3300657SS / 15K ###</v>
          </cell>
          <cell r="C1422">
            <v>0</v>
          </cell>
          <cell r="D1422">
            <v>145</v>
          </cell>
        </row>
        <row r="1423">
          <cell r="A1423">
            <v>2420503</v>
          </cell>
          <cell r="B1423" t="str">
            <v>HDLSCSI 36.7GB Maxtor 8C036J0 SCA/U320/15.000</v>
          </cell>
          <cell r="C1423">
            <v>0</v>
          </cell>
          <cell r="D1423">
            <v>140</v>
          </cell>
        </row>
        <row r="1424">
          <cell r="A1424">
            <v>2420653</v>
          </cell>
          <cell r="B1424" t="str">
            <v>HDLSCSI 146.8 GB Seagate ST3146855LC/SCA/15.000</v>
          </cell>
          <cell r="C1424">
            <v>0</v>
          </cell>
          <cell r="D1424">
            <v>179</v>
          </cell>
        </row>
        <row r="1425">
          <cell r="A1425">
            <v>2420656</v>
          </cell>
          <cell r="B1425" t="str">
            <v>HDSAS 3.5" 146.8 GB Seagate ST3146855SS / 15.000</v>
          </cell>
          <cell r="C1425">
            <v>0</v>
          </cell>
          <cell r="D1425">
            <v>110</v>
          </cell>
        </row>
        <row r="1426">
          <cell r="A1426">
            <v>2420657</v>
          </cell>
          <cell r="B1426" t="str">
            <v>HDSAS 3.5" 146.8 GB Seagate ST3146356SS / 15.000##</v>
          </cell>
          <cell r="C1426">
            <v>0</v>
          </cell>
          <cell r="D1426">
            <v>119</v>
          </cell>
        </row>
        <row r="1427">
          <cell r="A1427">
            <v>2420712</v>
          </cell>
          <cell r="B1427" t="str">
            <v>HDLSCSI 73.5GB Fujitsu MAT3073NC SCA / 10.000rpm</v>
          </cell>
          <cell r="C1427">
            <v>0</v>
          </cell>
          <cell r="D1427">
            <v>135</v>
          </cell>
        </row>
        <row r="1428">
          <cell r="A1428">
            <v>2420714</v>
          </cell>
          <cell r="B1428" t="str">
            <v>HDLSCSI 73.5GB Fujitsu MAU3073NC SCA / 15.000rpm</v>
          </cell>
          <cell r="C1428">
            <v>0</v>
          </cell>
          <cell r="D1428">
            <v>235</v>
          </cell>
        </row>
        <row r="1429">
          <cell r="A1429">
            <v>2420731</v>
          </cell>
          <cell r="B1429" t="str">
            <v>HDLSCSI 73.5GB Maxtor 8J073 L0 LW / 10.000rpm</v>
          </cell>
          <cell r="C1429">
            <v>0</v>
          </cell>
          <cell r="D1429">
            <v>142</v>
          </cell>
        </row>
        <row r="1430">
          <cell r="A1430">
            <v>2420755</v>
          </cell>
          <cell r="B1430" t="str">
            <v>SCSI HDD Fujitsu 300GB 10K SCA U320</v>
          </cell>
          <cell r="C1430">
            <v>0</v>
          </cell>
          <cell r="D1430">
            <v>275</v>
          </cell>
        </row>
        <row r="1431">
          <cell r="A1431">
            <v>2420850</v>
          </cell>
          <cell r="B1431" t="str">
            <v>HDLSCSI 73.5GB Fujitsu MAW3073NC SCA / 10.000rpm</v>
          </cell>
          <cell r="C1431">
            <v>0</v>
          </cell>
          <cell r="D1431">
            <v>111</v>
          </cell>
        </row>
        <row r="1432">
          <cell r="A1432">
            <v>2420851</v>
          </cell>
          <cell r="B1432" t="str">
            <v>HDLSCSI 73.5GB Fujitsu MAW3073NP / 10.000rpm</v>
          </cell>
          <cell r="C1432">
            <v>0</v>
          </cell>
          <cell r="D1432">
            <v>106</v>
          </cell>
        </row>
        <row r="1433">
          <cell r="A1433">
            <v>2420852</v>
          </cell>
          <cell r="B1433" t="str">
            <v>HDLSCSI 147.0 GB Fujitsu MAW3147 NC / 10.000rpm</v>
          </cell>
          <cell r="C1433">
            <v>0</v>
          </cell>
          <cell r="D1433">
            <v>165</v>
          </cell>
        </row>
        <row r="1434">
          <cell r="A1434">
            <v>2420853</v>
          </cell>
          <cell r="B1434" t="str">
            <v>SCSI HDD Fujitsu 147GB 10K Wide U320</v>
          </cell>
          <cell r="C1434">
            <v>0</v>
          </cell>
          <cell r="D1434">
            <v>165</v>
          </cell>
        </row>
        <row r="1435">
          <cell r="A1435">
            <v>2420854</v>
          </cell>
          <cell r="B1435" t="str">
            <v>SCSI HDD Fujitsu 300GB 10K Wide U320</v>
          </cell>
          <cell r="C1435">
            <v>0</v>
          </cell>
          <cell r="D1435">
            <v>280</v>
          </cell>
        </row>
        <row r="1436">
          <cell r="A1436">
            <v>2420856</v>
          </cell>
          <cell r="B1436" t="str">
            <v>HDLSCSI 73.5GB Fujitsu MAX3073NC SCA / 15.000rpm</v>
          </cell>
          <cell r="C1436">
            <v>0</v>
          </cell>
          <cell r="D1436">
            <v>114</v>
          </cell>
        </row>
        <row r="1437">
          <cell r="A1437">
            <v>2420857</v>
          </cell>
          <cell r="B1437" t="str">
            <v>SCSI HDD Fujitsu 73GB 14K Wide U320</v>
          </cell>
          <cell r="C1437">
            <v>0</v>
          </cell>
          <cell r="D1437">
            <v>114</v>
          </cell>
        </row>
        <row r="1438">
          <cell r="A1438">
            <v>2420858</v>
          </cell>
          <cell r="B1438" t="str">
            <v>HDLSCSI 147.0 GB Fujitsu MAX3147 NC / 15.000rpm</v>
          </cell>
          <cell r="C1438">
            <v>0</v>
          </cell>
          <cell r="D1438">
            <v>181</v>
          </cell>
        </row>
        <row r="1439">
          <cell r="A1439">
            <v>2420865</v>
          </cell>
          <cell r="B1439" t="str">
            <v>HDSAS 3.5" 147.0 GB Fujitsu MBA3147RC / 15.000 rpm</v>
          </cell>
          <cell r="C1439">
            <v>0</v>
          </cell>
          <cell r="D1439">
            <v>100</v>
          </cell>
        </row>
        <row r="1440">
          <cell r="A1440">
            <v>2420869</v>
          </cell>
          <cell r="B1440" t="str">
            <v>HDSAS 3.5" 300.0 GB Fujitsu MBA3300RC / 15.000rpm</v>
          </cell>
          <cell r="C1440">
            <v>0</v>
          </cell>
          <cell r="D1440">
            <v>100</v>
          </cell>
        </row>
        <row r="1441">
          <cell r="A1441">
            <v>2420872</v>
          </cell>
          <cell r="B1441" t="str">
            <v>HDSAS 2.5" 300.0 GB Seagate ST9300603SS / 10K  ###</v>
          </cell>
          <cell r="C1441">
            <v>0</v>
          </cell>
          <cell r="D1441">
            <v>115.94</v>
          </cell>
        </row>
        <row r="1442">
          <cell r="A1442">
            <v>2420875</v>
          </cell>
          <cell r="B1442" t="str">
            <v>HDLSCSI 147.0 GB Fujitsu MBA3147 NC / 15.000rpm **</v>
          </cell>
          <cell r="C1442">
            <v>0</v>
          </cell>
          <cell r="D1442">
            <v>129.5</v>
          </cell>
        </row>
        <row r="1443">
          <cell r="A1443">
            <v>2420876</v>
          </cell>
          <cell r="B1443" t="str">
            <v>HDSAS 2.5" 147.0 GB Fujitsu MBD2147RC / 10.000rpm</v>
          </cell>
          <cell r="C1443">
            <v>0</v>
          </cell>
          <cell r="D1443">
            <v>109.5</v>
          </cell>
        </row>
        <row r="1444">
          <cell r="A1444">
            <v>2420878</v>
          </cell>
          <cell r="B1444" t="str">
            <v>HDSAS 2.5" 300.0 GB Fujitsu MBD2300RC / 10.000rpm</v>
          </cell>
          <cell r="C1444">
            <v>0</v>
          </cell>
          <cell r="D1444">
            <v>190</v>
          </cell>
        </row>
        <row r="1445">
          <cell r="A1445">
            <v>2420884</v>
          </cell>
          <cell r="B1445" t="str">
            <v>HDSAS 2.5" 300.0 GB Toshiba MBF2300RC / 10.000rpm</v>
          </cell>
          <cell r="C1445">
            <v>0</v>
          </cell>
          <cell r="D1445">
            <v>139.5</v>
          </cell>
        </row>
        <row r="1446">
          <cell r="A1446">
            <v>2430024</v>
          </cell>
          <cell r="B1446" t="str">
            <v>HDNB  60.0GB Toshiba MK6025 GAS</v>
          </cell>
          <cell r="C1446">
            <v>0</v>
          </cell>
          <cell r="D1446">
            <v>59</v>
          </cell>
        </row>
        <row r="1447">
          <cell r="A1447">
            <v>2430032</v>
          </cell>
          <cell r="B1447" t="str">
            <v>HDNB  40.0GB Fujitsu MHV2040AH/5400rpm</v>
          </cell>
          <cell r="C1447">
            <v>0</v>
          </cell>
          <cell r="D1447">
            <v>39</v>
          </cell>
        </row>
        <row r="1448">
          <cell r="A1448">
            <v>2430043</v>
          </cell>
          <cell r="B1448" t="str">
            <v>HDNB  80.0GB Hitachi HTS541080G9AT00 / 5400rpm ***</v>
          </cell>
          <cell r="C1448">
            <v>0</v>
          </cell>
          <cell r="D1448">
            <v>0</v>
          </cell>
        </row>
        <row r="1449">
          <cell r="A1449">
            <v>2430048</v>
          </cell>
          <cell r="B1449" t="str">
            <v>HDD 2.5" 100GB 4200rpm 24x7 ext. Temp SATA</v>
          </cell>
          <cell r="C1449">
            <v>15</v>
          </cell>
          <cell r="D1449">
            <v>117.5</v>
          </cell>
        </row>
        <row r="1450">
          <cell r="A1450">
            <v>2430050</v>
          </cell>
          <cell r="B1450" t="str">
            <v>HDNB  60.0GB Fujitsu MHV2060BH / 5400rpm / S-ATA</v>
          </cell>
          <cell r="C1450">
            <v>0</v>
          </cell>
          <cell r="D1450">
            <v>55</v>
          </cell>
        </row>
        <row r="1451">
          <cell r="A1451">
            <v>2430053</v>
          </cell>
          <cell r="B1451" t="str">
            <v>HDNB  80.0GB Toshiba MK8032 GSX / 5400rpm / S-ATA</v>
          </cell>
          <cell r="C1451">
            <v>0</v>
          </cell>
          <cell r="D1451">
            <v>42</v>
          </cell>
        </row>
        <row r="1452">
          <cell r="A1452">
            <v>2430055</v>
          </cell>
          <cell r="B1452" t="str">
            <v>HDNB 100.0GB Fujitsu MHV2100BH / 5400rpm / S-ATA</v>
          </cell>
          <cell r="C1452">
            <v>0</v>
          </cell>
          <cell r="D1452">
            <v>50</v>
          </cell>
        </row>
        <row r="1453">
          <cell r="A1453">
            <v>2430059</v>
          </cell>
          <cell r="B1453" t="str">
            <v>HDNB  80.0GB Fujitsu MHV2080BH / 5400rpm / S-ATA</v>
          </cell>
          <cell r="C1453">
            <v>0</v>
          </cell>
          <cell r="D1453">
            <v>45</v>
          </cell>
        </row>
        <row r="1454">
          <cell r="A1454">
            <v>2430060</v>
          </cell>
          <cell r="B1454" t="str">
            <v>HDNB 120.0GB Fujitsu MHW2120BH / 5400rpm / S-ATA</v>
          </cell>
          <cell r="C1454">
            <v>0</v>
          </cell>
          <cell r="D1454">
            <v>42.5</v>
          </cell>
        </row>
        <row r="1455">
          <cell r="A1455">
            <v>2430061</v>
          </cell>
          <cell r="B1455" t="str">
            <v>HDNB 160.0GB Fujitsu MHW2160BH / 5400rpm / S-ATA</v>
          </cell>
          <cell r="C1455">
            <v>0</v>
          </cell>
          <cell r="D1455">
            <v>76.5</v>
          </cell>
        </row>
        <row r="1456">
          <cell r="A1456">
            <v>2430063</v>
          </cell>
          <cell r="B1456" t="str">
            <v>HDNB  80.0GB Toshiba MK8037GSX / 5400rpm / S-ATA</v>
          </cell>
          <cell r="C1456">
            <v>0</v>
          </cell>
          <cell r="D1456">
            <v>35</v>
          </cell>
        </row>
        <row r="1457">
          <cell r="A1457">
            <v>2430070</v>
          </cell>
          <cell r="B1457" t="str">
            <v>HDNB 250.0GB Fujitsu MHZ2250BH / 5400rpm / S-ATA</v>
          </cell>
          <cell r="C1457">
            <v>0</v>
          </cell>
          <cell r="D1457">
            <v>28.5</v>
          </cell>
        </row>
        <row r="1458">
          <cell r="A1458">
            <v>2430073</v>
          </cell>
          <cell r="B1458" t="str">
            <v>SATA 160 GB / 7200 rpm / 2,5"</v>
          </cell>
          <cell r="C1458">
            <v>0</v>
          </cell>
          <cell r="D1458">
            <v>32.5</v>
          </cell>
        </row>
        <row r="1459">
          <cell r="A1459">
            <v>2430083</v>
          </cell>
          <cell r="B1459" t="str">
            <v>HDNB 320.0GB Toshiba MK3256GSY / 7200rpm / S-ATA</v>
          </cell>
          <cell r="C1459">
            <v>0</v>
          </cell>
          <cell r="D1459">
            <v>39</v>
          </cell>
        </row>
        <row r="1460">
          <cell r="A1460">
            <v>2430086</v>
          </cell>
          <cell r="B1460" t="str">
            <v>Festplatte 2.5" SATA 320GB MK3261GSY</v>
          </cell>
          <cell r="C1460">
            <v>0</v>
          </cell>
          <cell r="D1460">
            <v>47.5</v>
          </cell>
        </row>
        <row r="1461">
          <cell r="A1461">
            <v>2430087</v>
          </cell>
          <cell r="B1461" t="str">
            <v>Festplatte 2.5" SATA 500GB MK5061GSYN</v>
          </cell>
          <cell r="C1461">
            <v>0</v>
          </cell>
          <cell r="D1461">
            <v>61.5</v>
          </cell>
        </row>
        <row r="1462">
          <cell r="A1462">
            <v>2430126</v>
          </cell>
          <cell r="B1462" t="str">
            <v>HDNB  60.0GB Fujitsu MHT2060AT</v>
          </cell>
          <cell r="C1462">
            <v>0</v>
          </cell>
          <cell r="D1462">
            <v>41.5</v>
          </cell>
        </row>
        <row r="1463">
          <cell r="A1463">
            <v>2430127</v>
          </cell>
          <cell r="B1463" t="str">
            <v>HDNB  80.0GB Fujitsu MHV2080AT</v>
          </cell>
          <cell r="C1463">
            <v>0</v>
          </cell>
          <cell r="D1463">
            <v>56</v>
          </cell>
        </row>
        <row r="1464">
          <cell r="A1464">
            <v>2430131</v>
          </cell>
          <cell r="B1464" t="str">
            <v>HDNB  60.0GB Fujitsu MHV2060AT</v>
          </cell>
          <cell r="C1464">
            <v>0</v>
          </cell>
          <cell r="D1464">
            <v>55</v>
          </cell>
        </row>
        <row r="1465">
          <cell r="A1465">
            <v>2430148</v>
          </cell>
          <cell r="B1465" t="str">
            <v>HDNB 250.0GB Toshiba MK2546GSX / 5400rpm / S-ATA</v>
          </cell>
          <cell r="C1465">
            <v>0</v>
          </cell>
          <cell r="D1465">
            <v>65.599999999999994</v>
          </cell>
        </row>
        <row r="1466">
          <cell r="A1466">
            <v>2430149</v>
          </cell>
          <cell r="B1466" t="str">
            <v>HDNB 320.0GB Toshiba MK3252GSX / 5400rpm / S-ATA</v>
          </cell>
          <cell r="C1466">
            <v>0</v>
          </cell>
          <cell r="D1466">
            <v>94.5</v>
          </cell>
        </row>
        <row r="1467">
          <cell r="A1467">
            <v>2430160</v>
          </cell>
          <cell r="B1467" t="str">
            <v>HDNB 250.0GB Toshiba MK2565GSX / 5400rpm / S-ATA</v>
          </cell>
          <cell r="C1467">
            <v>0</v>
          </cell>
          <cell r="D1467">
            <v>35.5</v>
          </cell>
        </row>
        <row r="1468">
          <cell r="A1468">
            <v>2430166</v>
          </cell>
          <cell r="B1468" t="str">
            <v>HDD 2.5" 500GB 5400rpm SATA2</v>
          </cell>
          <cell r="C1468">
            <v>0</v>
          </cell>
          <cell r="D1468">
            <v>29.9</v>
          </cell>
        </row>
        <row r="1469">
          <cell r="A1469">
            <v>2430167</v>
          </cell>
          <cell r="B1469" t="str">
            <v>Festplatte 2.5" SATA 320GB MK3276GSX</v>
          </cell>
          <cell r="C1469">
            <v>0</v>
          </cell>
          <cell r="D1469">
            <v>42.9</v>
          </cell>
        </row>
        <row r="1470">
          <cell r="A1470">
            <v>2430169</v>
          </cell>
          <cell r="B1470" t="str">
            <v>HDSATA 2.5" 1TB Seagate ST91000640NS / 7200rpm##</v>
          </cell>
          <cell r="C1470">
            <v>54</v>
          </cell>
          <cell r="D1470">
            <v>148</v>
          </cell>
        </row>
        <row r="1471">
          <cell r="A1471">
            <v>2430170</v>
          </cell>
          <cell r="B1471" t="str">
            <v>HDNB 400.0GB Toshiba  MK4055GSX / 5400rpm / S-ATA</v>
          </cell>
          <cell r="C1471">
            <v>0</v>
          </cell>
          <cell r="D1471">
            <v>69</v>
          </cell>
        </row>
        <row r="1472">
          <cell r="A1472">
            <v>2430172</v>
          </cell>
          <cell r="B1472" t="str">
            <v>HDD 2.5" 1TB 5400rpm SATA2</v>
          </cell>
          <cell r="C1472">
            <v>31</v>
          </cell>
          <cell r="D1472">
            <v>55.9</v>
          </cell>
        </row>
        <row r="1473">
          <cell r="A1473">
            <v>2430173</v>
          </cell>
          <cell r="B1473" t="str">
            <v>HDNB 750.0GB Toshiba MQ01ABD075 / 5400rpm / S-ATA</v>
          </cell>
          <cell r="C1473">
            <v>0</v>
          </cell>
          <cell r="D1473">
            <v>99.5</v>
          </cell>
        </row>
        <row r="1474">
          <cell r="A1474">
            <v>2430177</v>
          </cell>
          <cell r="B1474" t="str">
            <v>HDD 2.5" 500GB 5400rpm SATA2</v>
          </cell>
          <cell r="C1474">
            <v>0</v>
          </cell>
          <cell r="D1474">
            <v>39.5</v>
          </cell>
        </row>
        <row r="1475">
          <cell r="A1475">
            <v>2430179</v>
          </cell>
          <cell r="B1475" t="str">
            <v>Festplatte 2.5" SATA 500.0GB ST9500325AS</v>
          </cell>
          <cell r="C1475">
            <v>0</v>
          </cell>
          <cell r="D1475">
            <v>42.9</v>
          </cell>
        </row>
        <row r="1476">
          <cell r="A1476">
            <v>2430186</v>
          </cell>
          <cell r="B1476" t="str">
            <v>HDD 2.5" 500GB 5400rpm SATA2</v>
          </cell>
          <cell r="C1476">
            <v>9</v>
          </cell>
          <cell r="D1476">
            <v>34.5</v>
          </cell>
        </row>
        <row r="1477">
          <cell r="A1477">
            <v>2430252</v>
          </cell>
          <cell r="B1477" t="str">
            <v>HDNB  80.0GB Toshiba MK8032GAX / 5400rpm  ***</v>
          </cell>
          <cell r="C1477">
            <v>0</v>
          </cell>
          <cell r="D1477">
            <v>42.5</v>
          </cell>
        </row>
        <row r="1478">
          <cell r="A1478">
            <v>2430256</v>
          </cell>
          <cell r="B1478" t="str">
            <v>HDNB 120.0GB Toshiba MK1237GSX / 5400rpm / S-ATA</v>
          </cell>
          <cell r="C1478">
            <v>0</v>
          </cell>
          <cell r="D1478">
            <v>42</v>
          </cell>
        </row>
        <row r="1479">
          <cell r="A1479">
            <v>2430266</v>
          </cell>
          <cell r="B1479" t="str">
            <v>HDNB  40.0GB Fujitsu MHV2040AT</v>
          </cell>
          <cell r="C1479">
            <v>0</v>
          </cell>
          <cell r="D1479">
            <v>50</v>
          </cell>
        </row>
        <row r="1480">
          <cell r="A1480">
            <v>2430267</v>
          </cell>
          <cell r="B1480" t="str">
            <v>Festpatte 2.5" SATA 160GB WD1600BEVT</v>
          </cell>
          <cell r="C1480">
            <v>0</v>
          </cell>
          <cell r="D1480">
            <v>28.5</v>
          </cell>
        </row>
        <row r="1481">
          <cell r="A1481">
            <v>2430276</v>
          </cell>
          <cell r="B1481" t="str">
            <v>HDNB 500.0GB WD5000BPVT / 5400rpm / S-ATA ###</v>
          </cell>
          <cell r="C1481">
            <v>0</v>
          </cell>
          <cell r="D1481">
            <v>66.5</v>
          </cell>
        </row>
        <row r="1482">
          <cell r="A1482">
            <v>2430284</v>
          </cell>
          <cell r="B1482" t="str">
            <v>HDNB  1.0TB Samsung HN-M101MBB / 5400rpm/S-ATA~~~</v>
          </cell>
          <cell r="C1482">
            <v>0</v>
          </cell>
          <cell r="D1482">
            <v>84.5</v>
          </cell>
        </row>
        <row r="1483">
          <cell r="A1483">
            <v>2460035</v>
          </cell>
          <cell r="B1483" t="str">
            <v>IOMEGA ZIP Drive 750 ATAPI intern bulk</v>
          </cell>
          <cell r="C1483">
            <v>0</v>
          </cell>
          <cell r="D1483">
            <v>61</v>
          </cell>
        </row>
        <row r="1484">
          <cell r="A1484">
            <v>2460102</v>
          </cell>
          <cell r="B1484" t="str">
            <v>IOMEGA REV Drive  35GB USB 2.0 extern</v>
          </cell>
          <cell r="C1484">
            <v>0</v>
          </cell>
          <cell r="D1484">
            <v>245</v>
          </cell>
        </row>
        <row r="1485">
          <cell r="A1485">
            <v>2460103</v>
          </cell>
          <cell r="B1485" t="str">
            <v>IOMEGA REV Medium  35GB</v>
          </cell>
          <cell r="C1485">
            <v>0</v>
          </cell>
          <cell r="D1485">
            <v>33.5</v>
          </cell>
        </row>
        <row r="1486">
          <cell r="A1486">
            <v>2460108</v>
          </cell>
          <cell r="B1486" t="str">
            <v>IOMEGA REV Medium  70GB   5er Pack!</v>
          </cell>
          <cell r="C1486">
            <v>0</v>
          </cell>
          <cell r="D1486">
            <v>215</v>
          </cell>
        </row>
        <row r="1487">
          <cell r="A1487">
            <v>2460109</v>
          </cell>
          <cell r="B1487" t="str">
            <v>IOMEGA REV Drive  70GB USB 2.0 extern</v>
          </cell>
          <cell r="C1487">
            <v>0</v>
          </cell>
          <cell r="D1487">
            <v>293</v>
          </cell>
        </row>
        <row r="1488">
          <cell r="A1488">
            <v>2460116</v>
          </cell>
          <cell r="B1488" t="str">
            <v>IOMEGA REV Drive 70GB SATA intern</v>
          </cell>
          <cell r="C1488">
            <v>0</v>
          </cell>
          <cell r="D1488">
            <v>305</v>
          </cell>
        </row>
        <row r="1489">
          <cell r="A1489">
            <v>2460126</v>
          </cell>
          <cell r="B1489" t="str">
            <v>IOMEGA REV Drive 35/90GB SATA intern BLACK</v>
          </cell>
          <cell r="C1489">
            <v>0</v>
          </cell>
          <cell r="D1489">
            <v>239</v>
          </cell>
        </row>
        <row r="1490">
          <cell r="A1490">
            <v>2460127</v>
          </cell>
          <cell r="B1490" t="str">
            <v>IOMEGA REV Drive 35/90GB SATA intern bulk</v>
          </cell>
          <cell r="C1490">
            <v>0</v>
          </cell>
          <cell r="D1490">
            <v>175</v>
          </cell>
        </row>
        <row r="1491">
          <cell r="A1491">
            <v>2460239</v>
          </cell>
          <cell r="B1491" t="str">
            <v>IOMEGA HDD Portable-Drive  250GB USB 2.0 extern</v>
          </cell>
          <cell r="C1491">
            <v>0</v>
          </cell>
          <cell r="D1491">
            <v>131</v>
          </cell>
        </row>
        <row r="1492">
          <cell r="A1492">
            <v>2470152</v>
          </cell>
          <cell r="B1492" t="str">
            <v>HDUEN  40.0GB Maxtor 6K040L0  / 7200rpm</v>
          </cell>
          <cell r="C1492">
            <v>0</v>
          </cell>
          <cell r="D1492">
            <v>33.5</v>
          </cell>
        </row>
        <row r="1493">
          <cell r="A1493">
            <v>2470182</v>
          </cell>
          <cell r="B1493" t="str">
            <v>HDUEN  80.0GB Maxtor 6Y080 L0 / 7200rpm</v>
          </cell>
          <cell r="C1493">
            <v>0</v>
          </cell>
          <cell r="D1493">
            <v>45</v>
          </cell>
        </row>
        <row r="1494">
          <cell r="A1494">
            <v>2470290</v>
          </cell>
          <cell r="B1494" t="str">
            <v>HDSATA  80.0GB Maxtor 6L080 M0 / 7200rpm</v>
          </cell>
          <cell r="C1494">
            <v>0</v>
          </cell>
          <cell r="D1494">
            <v>49</v>
          </cell>
        </row>
        <row r="1495">
          <cell r="A1495">
            <v>2470311</v>
          </cell>
          <cell r="B1495" t="str">
            <v>HDUEN 120.0GB Seagate ST3120022A / 7200rpm ***</v>
          </cell>
          <cell r="C1495">
            <v>0</v>
          </cell>
          <cell r="D1495">
            <v>58</v>
          </cell>
        </row>
        <row r="1496">
          <cell r="A1496">
            <v>2470321</v>
          </cell>
          <cell r="B1496" t="str">
            <v>HDUEN  40.0GB Seagate ST340014A / 7200rpm ***</v>
          </cell>
          <cell r="C1496">
            <v>0</v>
          </cell>
          <cell r="D1496">
            <v>39</v>
          </cell>
        </row>
        <row r="1497">
          <cell r="A1497">
            <v>2470390</v>
          </cell>
          <cell r="B1497" t="str">
            <v>HDSATA  80.0GB Seagate ST380013AS / 7200rpm ***</v>
          </cell>
          <cell r="C1497">
            <v>0</v>
          </cell>
          <cell r="D1497">
            <v>48</v>
          </cell>
        </row>
        <row r="1498">
          <cell r="A1498">
            <v>2470392</v>
          </cell>
          <cell r="B1498" t="str">
            <v>HDSATA 160.0GB Seagate ST3160023AS / 7200rpm ***</v>
          </cell>
          <cell r="C1498">
            <v>0</v>
          </cell>
          <cell r="D1498">
            <v>69</v>
          </cell>
        </row>
        <row r="1499">
          <cell r="A1499">
            <v>2470397</v>
          </cell>
          <cell r="B1499" t="str">
            <v>HDSATA 200.0GB Seagate ST3200822AS / 7200rpm ***</v>
          </cell>
          <cell r="C1499">
            <v>0</v>
          </cell>
          <cell r="D1499">
            <v>75</v>
          </cell>
        </row>
        <row r="1500">
          <cell r="A1500">
            <v>2470412</v>
          </cell>
          <cell r="B1500" t="str">
            <v>HDUEN  80.0GB Seagate ST380011A / 7200rpm ***</v>
          </cell>
          <cell r="C1500">
            <v>0</v>
          </cell>
          <cell r="D1500">
            <v>45</v>
          </cell>
        </row>
        <row r="1501">
          <cell r="A1501">
            <v>2470446</v>
          </cell>
          <cell r="B1501" t="str">
            <v>HDSATA 160.0GB Western Digital WD1600YS / Raid Ed.</v>
          </cell>
          <cell r="C1501">
            <v>0</v>
          </cell>
          <cell r="D1501">
            <v>46.5</v>
          </cell>
        </row>
        <row r="1502">
          <cell r="A1502">
            <v>2470447</v>
          </cell>
          <cell r="B1502" t="str">
            <v>HDSATA 250.0GB Western Digital WD2500YS / Raid Ed.</v>
          </cell>
          <cell r="C1502">
            <v>0</v>
          </cell>
          <cell r="D1502">
            <v>47.5</v>
          </cell>
        </row>
        <row r="1503">
          <cell r="A1503">
            <v>2470448</v>
          </cell>
          <cell r="B1503" t="str">
            <v>HDSATA 160.0GB Western Digital WD1601ABYS / Raid</v>
          </cell>
          <cell r="C1503">
            <v>0</v>
          </cell>
          <cell r="D1503">
            <v>35</v>
          </cell>
        </row>
        <row r="1504">
          <cell r="A1504">
            <v>2470449</v>
          </cell>
          <cell r="B1504" t="str">
            <v>HDSATA 250.0GB Western Digital WD2502ABYS / Raid##</v>
          </cell>
          <cell r="C1504">
            <v>0</v>
          </cell>
          <cell r="D1504">
            <v>50</v>
          </cell>
        </row>
        <row r="1505">
          <cell r="A1505">
            <v>2470451</v>
          </cell>
          <cell r="B1505" t="str">
            <v>HDSATA 250.0GB Western Digital WD2503ABYX / Rai</v>
          </cell>
          <cell r="C1505">
            <v>0</v>
          </cell>
          <cell r="D1505">
            <v>40</v>
          </cell>
        </row>
        <row r="1506">
          <cell r="A1506">
            <v>2470480</v>
          </cell>
          <cell r="B1506" t="str">
            <v>HDSATA  80.0GB Maxtor 6V080 E0 / S-ATA II</v>
          </cell>
          <cell r="C1506">
            <v>0</v>
          </cell>
          <cell r="D1506">
            <v>44.5</v>
          </cell>
        </row>
        <row r="1507">
          <cell r="A1507">
            <v>2470511</v>
          </cell>
          <cell r="B1507" t="str">
            <v>HDUEN 160.0GB Seagate ST3160021A / 7200rpm ***</v>
          </cell>
          <cell r="C1507">
            <v>0</v>
          </cell>
          <cell r="D1507">
            <v>64</v>
          </cell>
        </row>
        <row r="1508">
          <cell r="A1508">
            <v>2470512</v>
          </cell>
          <cell r="B1508" t="str">
            <v>HDUEN 160.0GB Maxtor STM3160215A / 7200rpm ***</v>
          </cell>
          <cell r="C1508">
            <v>0</v>
          </cell>
          <cell r="D1508">
            <v>30</v>
          </cell>
        </row>
        <row r="1509">
          <cell r="A1509">
            <v>2470522</v>
          </cell>
          <cell r="B1509" t="str">
            <v>HDUEN 200.0GB Maxtor 6L200P0 / 7200rpm / 8MB</v>
          </cell>
          <cell r="C1509">
            <v>0</v>
          </cell>
          <cell r="D1509">
            <v>50</v>
          </cell>
        </row>
        <row r="1510">
          <cell r="A1510">
            <v>2470622</v>
          </cell>
          <cell r="B1510" t="str">
            <v>HDUEN 200.0GB Samsung 7200rpm 8MB</v>
          </cell>
          <cell r="C1510">
            <v>0</v>
          </cell>
          <cell r="D1510">
            <v>44.5</v>
          </cell>
        </row>
        <row r="1511">
          <cell r="A1511">
            <v>2470623</v>
          </cell>
          <cell r="B1511" t="str">
            <v>HDUEN 250.0GB Samsung SP2514N / 7200rpm / 8MB</v>
          </cell>
          <cell r="C1511">
            <v>0</v>
          </cell>
          <cell r="D1511">
            <v>50</v>
          </cell>
        </row>
        <row r="1512">
          <cell r="A1512">
            <v>2470625</v>
          </cell>
          <cell r="B1512" t="str">
            <v>HDSATA  80.0GB Samsung HD080HJ / S-ATA II</v>
          </cell>
          <cell r="C1512">
            <v>0</v>
          </cell>
          <cell r="D1512">
            <v>34.5</v>
          </cell>
        </row>
        <row r="1513">
          <cell r="A1513">
            <v>2470626</v>
          </cell>
          <cell r="B1513" t="str">
            <v>HDSATA 160.0GB Samsung HD160JJ / S-ATA II</v>
          </cell>
          <cell r="C1513">
            <v>0</v>
          </cell>
          <cell r="D1513">
            <v>40.5</v>
          </cell>
        </row>
        <row r="1514">
          <cell r="A1514">
            <v>2470627</v>
          </cell>
          <cell r="B1514" t="str">
            <v>HDSATA 200.0GB Samsung SP2004C / S-ATA II</v>
          </cell>
          <cell r="C1514">
            <v>0</v>
          </cell>
          <cell r="D1514">
            <v>57.5</v>
          </cell>
        </row>
        <row r="1515">
          <cell r="A1515">
            <v>2470629</v>
          </cell>
          <cell r="B1515" t="str">
            <v>HDSATA 300.0GB Samsung HD300LJ / S-ATA II</v>
          </cell>
          <cell r="C1515">
            <v>0</v>
          </cell>
          <cell r="D1515">
            <v>80.5</v>
          </cell>
        </row>
        <row r="1516">
          <cell r="A1516">
            <v>2470630</v>
          </cell>
          <cell r="B1516" t="str">
            <v>HDSATA 160.0GB Western Digital WD1600JS / S-ATA II</v>
          </cell>
          <cell r="C1516">
            <v>0</v>
          </cell>
          <cell r="D1516">
            <v>29</v>
          </cell>
        </row>
        <row r="1517">
          <cell r="A1517">
            <v>2470631</v>
          </cell>
          <cell r="B1517" t="str">
            <v>HDSATA 200.0GB Western Digital WD2000JS / S-ATA II</v>
          </cell>
          <cell r="C1517">
            <v>0</v>
          </cell>
          <cell r="D1517">
            <v>58.5</v>
          </cell>
        </row>
        <row r="1518">
          <cell r="A1518">
            <v>2470636</v>
          </cell>
          <cell r="B1518" t="str">
            <v>HDUEN  80.0GB Samsung SP0842N / 7200rpm / 2MB</v>
          </cell>
          <cell r="C1518">
            <v>0</v>
          </cell>
          <cell r="D1518">
            <v>29.5</v>
          </cell>
        </row>
        <row r="1519">
          <cell r="A1519">
            <v>2470637</v>
          </cell>
          <cell r="B1519" t="str">
            <v>HDSATA 320.0GB Western Digital WD3200JS / S-ATA II</v>
          </cell>
          <cell r="C1519">
            <v>0</v>
          </cell>
          <cell r="D1519">
            <v>69.5</v>
          </cell>
        </row>
        <row r="1520">
          <cell r="A1520">
            <v>2470645</v>
          </cell>
          <cell r="B1520" t="str">
            <v>HDSATA 400.0GB Samsung HD401LJ / S-ATA II / 16 MB</v>
          </cell>
          <cell r="C1520">
            <v>0</v>
          </cell>
          <cell r="D1520">
            <v>66.5</v>
          </cell>
        </row>
        <row r="1521">
          <cell r="A1521">
            <v>2470647</v>
          </cell>
          <cell r="B1521" t="str">
            <v>HDSATA 250.0GB Western Digital WD2500AAKS / 16 MB</v>
          </cell>
          <cell r="C1521">
            <v>0</v>
          </cell>
          <cell r="D1521">
            <v>34.5</v>
          </cell>
        </row>
        <row r="1522">
          <cell r="A1522">
            <v>2470649</v>
          </cell>
          <cell r="B1522" t="str">
            <v>HDSATA 500.0GB Western Digital WD5000AAKS / 16 MB</v>
          </cell>
          <cell r="C1522">
            <v>0</v>
          </cell>
          <cell r="D1522">
            <v>67</v>
          </cell>
        </row>
        <row r="1523">
          <cell r="A1523">
            <v>2470650</v>
          </cell>
          <cell r="B1523" t="str">
            <v>HDSATA 160.0GB Samsung HD161GJ / S-ATA II</v>
          </cell>
          <cell r="C1523">
            <v>0</v>
          </cell>
          <cell r="D1523">
            <v>26.5</v>
          </cell>
        </row>
        <row r="1524">
          <cell r="A1524">
            <v>2470655</v>
          </cell>
          <cell r="B1524" t="str">
            <v>HDUEN 160.0GB Samsung SP1613N / 7200rpm / 8MB</v>
          </cell>
          <cell r="C1524">
            <v>0</v>
          </cell>
          <cell r="D1524">
            <v>38</v>
          </cell>
        </row>
        <row r="1525">
          <cell r="A1525">
            <v>2470656</v>
          </cell>
          <cell r="B1525" t="str">
            <v>HDSATA 750.0GB Samsung HD753LJ / S-ATA II / 32 MB</v>
          </cell>
          <cell r="C1525">
            <v>0</v>
          </cell>
          <cell r="D1525">
            <v>59.5</v>
          </cell>
        </row>
        <row r="1526">
          <cell r="A1526">
            <v>2470657</v>
          </cell>
          <cell r="B1526" t="str">
            <v>HDSATA  1TB Samsung HD103UJ / S-ATA II / 32 MB</v>
          </cell>
          <cell r="C1526">
            <v>0</v>
          </cell>
          <cell r="D1526">
            <v>65.5</v>
          </cell>
        </row>
        <row r="1527">
          <cell r="A1527">
            <v>2470663</v>
          </cell>
          <cell r="B1527" t="str">
            <v>HDSATA 500.0GB Samsung HD502IJ / S-ATA II / 16 MB</v>
          </cell>
          <cell r="C1527">
            <v>0</v>
          </cell>
          <cell r="D1527">
            <v>30</v>
          </cell>
        </row>
        <row r="1528">
          <cell r="A1528">
            <v>2470670</v>
          </cell>
          <cell r="B1528" t="str">
            <v>HDSATA  1TB Samsung HD103UJ / S-ATA II / 32 MB ###</v>
          </cell>
          <cell r="C1528">
            <v>0</v>
          </cell>
          <cell r="D1528">
            <v>58.5</v>
          </cell>
        </row>
        <row r="1529">
          <cell r="A1529">
            <v>2470676</v>
          </cell>
          <cell r="B1529" t="str">
            <v>HDSATA  1TB Western Digital WD10EADS / Green</v>
          </cell>
          <cell r="C1529">
            <v>0</v>
          </cell>
          <cell r="D1529">
            <v>64.5</v>
          </cell>
        </row>
        <row r="1530">
          <cell r="A1530">
            <v>2470678</v>
          </cell>
          <cell r="B1530" t="str">
            <v>HDSATA 320.0GB Western Digital WD3200AAKS / 16 MB</v>
          </cell>
          <cell r="C1530">
            <v>0</v>
          </cell>
          <cell r="D1530">
            <v>29</v>
          </cell>
        </row>
        <row r="1531">
          <cell r="A1531">
            <v>2470681</v>
          </cell>
          <cell r="B1531" t="str">
            <v>HDSATA 160.0GB Western Digital WD1600AAJS</v>
          </cell>
          <cell r="C1531">
            <v>0</v>
          </cell>
          <cell r="D1531">
            <v>25.9</v>
          </cell>
        </row>
        <row r="1532">
          <cell r="A1532">
            <v>2470682</v>
          </cell>
          <cell r="B1532" t="str">
            <v>HDSATA 500.0GB Western Digital WD5000AADS / Green</v>
          </cell>
          <cell r="C1532">
            <v>0</v>
          </cell>
          <cell r="D1532">
            <v>27</v>
          </cell>
        </row>
        <row r="1533">
          <cell r="A1533">
            <v>2470684</v>
          </cell>
          <cell r="B1533" t="str">
            <v>HDSATA  1TB Samsung HD103SI / S-ATA II / Green</v>
          </cell>
          <cell r="C1533">
            <v>0</v>
          </cell>
          <cell r="D1533">
            <v>48</v>
          </cell>
        </row>
        <row r="1534">
          <cell r="A1534">
            <v>2470688</v>
          </cell>
          <cell r="B1534" t="str">
            <v>HDSATA  1TB Samsung HD103SJ / S-ATA II / 32 MB</v>
          </cell>
          <cell r="C1534">
            <v>0</v>
          </cell>
          <cell r="D1534">
            <v>59.5</v>
          </cell>
        </row>
        <row r="1535">
          <cell r="A1535">
            <v>2470692</v>
          </cell>
          <cell r="B1535" t="str">
            <v>HDSATA  1TB Western Digital WD10EARS / Green</v>
          </cell>
          <cell r="C1535">
            <v>0</v>
          </cell>
          <cell r="D1535">
            <v>36.5</v>
          </cell>
        </row>
        <row r="1536">
          <cell r="A1536">
            <v>2470695</v>
          </cell>
          <cell r="B1536" t="str">
            <v>HDSATA  1.5TB Western Digital WD15EARS / Green</v>
          </cell>
          <cell r="C1536">
            <v>0</v>
          </cell>
          <cell r="D1536">
            <v>79.900000000000006</v>
          </cell>
        </row>
        <row r="1537">
          <cell r="A1537">
            <v>2470696</v>
          </cell>
          <cell r="B1537" t="str">
            <v>HDSATA  1.5TB Western Digital WD15EARS / Green ###</v>
          </cell>
          <cell r="C1537">
            <v>0</v>
          </cell>
          <cell r="D1537">
            <v>34.5</v>
          </cell>
        </row>
        <row r="1538">
          <cell r="A1538">
            <v>2470697</v>
          </cell>
          <cell r="B1538" t="str">
            <v>HDSATA  2TB Western Digital WD20EARS / Green</v>
          </cell>
          <cell r="C1538">
            <v>0</v>
          </cell>
          <cell r="D1538">
            <v>49.5</v>
          </cell>
        </row>
        <row r="1539">
          <cell r="A1539">
            <v>2470709</v>
          </cell>
          <cell r="B1539" t="str">
            <v>Festplatte 3.5" SATA3 500GB WD5000AAKX</v>
          </cell>
          <cell r="C1539">
            <v>2</v>
          </cell>
          <cell r="D1539">
            <v>39.9</v>
          </cell>
        </row>
        <row r="1540">
          <cell r="A1540">
            <v>2470720</v>
          </cell>
          <cell r="B1540" t="str">
            <v>HDSATA  80.0GB Seagate ST3808110AS / S-ATA II</v>
          </cell>
          <cell r="C1540">
            <v>0</v>
          </cell>
          <cell r="D1540">
            <v>42</v>
          </cell>
        </row>
        <row r="1541">
          <cell r="A1541">
            <v>2470721</v>
          </cell>
          <cell r="B1541" t="str">
            <v>HDSATA 160.0GB Seagate ST3160812AS / S-ATA II</v>
          </cell>
          <cell r="C1541">
            <v>0</v>
          </cell>
          <cell r="D1541">
            <v>45</v>
          </cell>
        </row>
        <row r="1542">
          <cell r="A1542">
            <v>2470723</v>
          </cell>
          <cell r="B1542" t="str">
            <v>HDSATA 250.0GB Seagate ST3250824AS / S-ATA II</v>
          </cell>
          <cell r="C1542">
            <v>0</v>
          </cell>
          <cell r="D1542">
            <v>69</v>
          </cell>
        </row>
        <row r="1543">
          <cell r="A1543">
            <v>2470725</v>
          </cell>
          <cell r="B1543" t="str">
            <v>HDSATA 300.0GB Seagate ST3300822AS / S-ATA II</v>
          </cell>
          <cell r="C1543">
            <v>0</v>
          </cell>
          <cell r="D1543">
            <v>84.5</v>
          </cell>
        </row>
        <row r="1544">
          <cell r="A1544">
            <v>2470726</v>
          </cell>
          <cell r="B1544" t="str">
            <v>HDSATA 400.0GB Seagate ST3400633AS / S-ATA II</v>
          </cell>
          <cell r="C1544">
            <v>0</v>
          </cell>
          <cell r="D1544">
            <v>152.5</v>
          </cell>
        </row>
        <row r="1545">
          <cell r="A1545">
            <v>2470727</v>
          </cell>
          <cell r="B1545" t="str">
            <v>HDSATA  500.0GB Seagate ST3500641SA / S-ATA II</v>
          </cell>
          <cell r="C1545">
            <v>0</v>
          </cell>
          <cell r="D1545">
            <v>149</v>
          </cell>
        </row>
        <row r="1546">
          <cell r="A1546">
            <v>2470728</v>
          </cell>
          <cell r="B1546" t="str">
            <v>HDUEN  40.0GB Seagate ST3402111A / 7200rpm</v>
          </cell>
          <cell r="C1546">
            <v>0</v>
          </cell>
          <cell r="D1546">
            <v>34</v>
          </cell>
        </row>
        <row r="1547">
          <cell r="A1547">
            <v>2470729</v>
          </cell>
          <cell r="B1547" t="str">
            <v>HDUEN  80.0GB Seagate ST3802110A / 7200rpm</v>
          </cell>
          <cell r="C1547">
            <v>0</v>
          </cell>
          <cell r="D1547">
            <v>35</v>
          </cell>
        </row>
        <row r="1548">
          <cell r="A1548">
            <v>2470730</v>
          </cell>
          <cell r="B1548" t="str">
            <v>HDUEN 160.0GB Seagate ST3160812A / 7200rpm</v>
          </cell>
          <cell r="C1548">
            <v>0</v>
          </cell>
          <cell r="D1548">
            <v>45</v>
          </cell>
        </row>
        <row r="1549">
          <cell r="A1549">
            <v>2470731</v>
          </cell>
          <cell r="B1549" t="str">
            <v>HDUEN 200.0GB Seagate ST3200827A / 7200rpm</v>
          </cell>
          <cell r="C1549">
            <v>0</v>
          </cell>
          <cell r="D1549">
            <v>65</v>
          </cell>
        </row>
        <row r="1550">
          <cell r="A1550">
            <v>2470735</v>
          </cell>
          <cell r="B1550" t="str">
            <v>HDSATA 250.0GB Seagate ST3250620NS /S-ATA II/16MB</v>
          </cell>
          <cell r="C1550">
            <v>0</v>
          </cell>
          <cell r="D1550">
            <v>52.5</v>
          </cell>
        </row>
        <row r="1551">
          <cell r="A1551">
            <v>2470737</v>
          </cell>
          <cell r="B1551" t="str">
            <v>HDSATA 400.0GB Seagate ST3400620NS / S-ATA II/16MB</v>
          </cell>
          <cell r="C1551">
            <v>0</v>
          </cell>
          <cell r="D1551">
            <v>64</v>
          </cell>
        </row>
        <row r="1552">
          <cell r="A1552">
            <v>2470738</v>
          </cell>
          <cell r="B1552" t="str">
            <v>HDSATA 500.0GB Seagate ST3500630NS/ S-ATA II /16MB</v>
          </cell>
          <cell r="C1552">
            <v>0</v>
          </cell>
          <cell r="D1552">
            <v>71</v>
          </cell>
        </row>
        <row r="1553">
          <cell r="A1553">
            <v>2470739</v>
          </cell>
          <cell r="B1553" t="str">
            <v>HDSATA 750.0GB Seagate ST3750640NS / S-ATA II/16MB</v>
          </cell>
          <cell r="C1553">
            <v>0</v>
          </cell>
          <cell r="D1553">
            <v>167</v>
          </cell>
        </row>
        <row r="1554">
          <cell r="A1554">
            <v>2470740</v>
          </cell>
          <cell r="B1554" t="str">
            <v>HDSATA  80.0GB Seagate ST380815AS / S-ATA II</v>
          </cell>
          <cell r="C1554">
            <v>0</v>
          </cell>
          <cell r="D1554">
            <v>29</v>
          </cell>
        </row>
        <row r="1555">
          <cell r="A1555">
            <v>2470741</v>
          </cell>
          <cell r="B1555" t="str">
            <v>HDSATA 160.0GB Seagate ST3160815AS / S-ATA II</v>
          </cell>
          <cell r="C1555">
            <v>0</v>
          </cell>
          <cell r="D1555">
            <v>29.58</v>
          </cell>
        </row>
        <row r="1556">
          <cell r="A1556">
            <v>2470742</v>
          </cell>
          <cell r="B1556" t="str">
            <v>HDSATA 250.0GB Seagate ST3250820AS / S-ATA II</v>
          </cell>
          <cell r="C1556">
            <v>0</v>
          </cell>
          <cell r="D1556">
            <v>38</v>
          </cell>
        </row>
        <row r="1557">
          <cell r="A1557">
            <v>2470747</v>
          </cell>
          <cell r="B1557" t="str">
            <v>HDSATA 500.0GB Seagate ST3500630AS / S-ATA II/16MB</v>
          </cell>
          <cell r="C1557">
            <v>0</v>
          </cell>
          <cell r="D1557">
            <v>57</v>
          </cell>
        </row>
        <row r="1558">
          <cell r="A1558">
            <v>2470748</v>
          </cell>
          <cell r="B1558" t="str">
            <v>HDSATA 750.0GB Seagate ST3750840AS / S-ATA II</v>
          </cell>
          <cell r="C1558">
            <v>0</v>
          </cell>
          <cell r="D1558">
            <v>184.5</v>
          </cell>
        </row>
        <row r="1559">
          <cell r="A1559">
            <v>2470749</v>
          </cell>
          <cell r="B1559" t="str">
            <v>HDSATA 750.0GB Seagate ST3750640AS / S-ATA II/16MB</v>
          </cell>
          <cell r="C1559">
            <v>0</v>
          </cell>
          <cell r="D1559">
            <v>82</v>
          </cell>
        </row>
        <row r="1560">
          <cell r="A1560">
            <v>2470759</v>
          </cell>
          <cell r="B1560" t="str">
            <v>HDUEN  80.0GB Maxtor STM380215A / 7200rpm</v>
          </cell>
          <cell r="C1560">
            <v>0</v>
          </cell>
          <cell r="D1560">
            <v>32.5</v>
          </cell>
        </row>
        <row r="1561">
          <cell r="A1561">
            <v>2470760</v>
          </cell>
          <cell r="B1561" t="str">
            <v>HDSATA  1TB Seagate ST31000340NS / 32MB ###</v>
          </cell>
          <cell r="C1561">
            <v>0</v>
          </cell>
          <cell r="D1561">
            <v>109</v>
          </cell>
        </row>
        <row r="1562">
          <cell r="A1562">
            <v>2470762</v>
          </cell>
          <cell r="B1562" t="str">
            <v>HDSATA 250.0GB Seagate ST3250310AS / S-ATA II</v>
          </cell>
          <cell r="C1562">
            <v>0</v>
          </cell>
          <cell r="D1562">
            <v>46.5</v>
          </cell>
        </row>
        <row r="1563">
          <cell r="A1563">
            <v>2470764</v>
          </cell>
          <cell r="B1563" t="str">
            <v>HDUEN 250.0GB Seagate ST3250820A / 7200rpm ***</v>
          </cell>
          <cell r="C1563">
            <v>0</v>
          </cell>
          <cell r="D1563">
            <v>52</v>
          </cell>
        </row>
        <row r="1564">
          <cell r="A1564">
            <v>2470766</v>
          </cell>
          <cell r="B1564" t="str">
            <v>HDSATA 500.0GB Seagate ST3500320NS / S-ATA II/32MB</v>
          </cell>
          <cell r="C1564">
            <v>0</v>
          </cell>
          <cell r="D1564">
            <v>67.5</v>
          </cell>
        </row>
        <row r="1565">
          <cell r="A1565">
            <v>2470768</v>
          </cell>
          <cell r="B1565" t="str">
            <v>HDSATA 500.0GB Seagate ST3500320NS / 32MB ***</v>
          </cell>
          <cell r="C1565">
            <v>0</v>
          </cell>
          <cell r="D1565">
            <v>69</v>
          </cell>
        </row>
        <row r="1566">
          <cell r="A1566">
            <v>2470773</v>
          </cell>
          <cell r="B1566" t="str">
            <v>HDUEN 160.0GB Western Digital 1600AAJB / 7200rpm *</v>
          </cell>
          <cell r="C1566">
            <v>0</v>
          </cell>
          <cell r="D1566">
            <v>35.5</v>
          </cell>
        </row>
        <row r="1567">
          <cell r="A1567">
            <v>2470776</v>
          </cell>
          <cell r="B1567" t="str">
            <v>HDUEN 200.0GB Western Digital</v>
          </cell>
          <cell r="C1567">
            <v>0</v>
          </cell>
          <cell r="D1567">
            <v>45</v>
          </cell>
        </row>
        <row r="1568">
          <cell r="A1568">
            <v>2470779</v>
          </cell>
          <cell r="B1568" t="str">
            <v>HDUEN 250.0GB Western Digital 2500JB / 7200rpm/8MB</v>
          </cell>
          <cell r="C1568">
            <v>0</v>
          </cell>
          <cell r="D1568">
            <v>45</v>
          </cell>
        </row>
        <row r="1569">
          <cell r="A1569">
            <v>2470784</v>
          </cell>
          <cell r="B1569" t="str">
            <v>HDSATA 750.0GB Seagate ST3750330AS / 32MB ###</v>
          </cell>
          <cell r="C1569">
            <v>0</v>
          </cell>
          <cell r="D1569">
            <v>76.5</v>
          </cell>
        </row>
        <row r="1570">
          <cell r="A1570">
            <v>2470785</v>
          </cell>
          <cell r="B1570" t="str">
            <v>HDSATA 500.0GB Seagate ST3500320AS / 32MB  ###</v>
          </cell>
          <cell r="C1570">
            <v>0</v>
          </cell>
          <cell r="D1570">
            <v>57</v>
          </cell>
        </row>
        <row r="1571">
          <cell r="A1571">
            <v>2470787</v>
          </cell>
          <cell r="B1571" t="str">
            <v>HDSATA 160.0GB Seagate ST3160815AS / S-ATA II</v>
          </cell>
          <cell r="C1571">
            <v>0</v>
          </cell>
          <cell r="D1571">
            <v>30</v>
          </cell>
        </row>
        <row r="1572">
          <cell r="A1572">
            <v>2470789</v>
          </cell>
          <cell r="B1572" t="str">
            <v>HDSATA 500.0 GB Seagate ST3500320AS</v>
          </cell>
          <cell r="C1572">
            <v>0</v>
          </cell>
          <cell r="D1572">
            <v>47</v>
          </cell>
        </row>
        <row r="1573">
          <cell r="A1573">
            <v>2470790</v>
          </cell>
          <cell r="B1573" t="str">
            <v>HDSATA 750.0GB Seagate ST3750330NS / 32MB</v>
          </cell>
          <cell r="C1573">
            <v>0</v>
          </cell>
          <cell r="D1573">
            <v>92</v>
          </cell>
        </row>
        <row r="1574">
          <cell r="A1574">
            <v>2470793</v>
          </cell>
          <cell r="B1574" t="str">
            <v>HDSATA 750.0GB Seagate ST3750330AS / 32MB</v>
          </cell>
          <cell r="C1574">
            <v>0</v>
          </cell>
          <cell r="D1574">
            <v>82.5</v>
          </cell>
        </row>
        <row r="1575">
          <cell r="A1575">
            <v>2470796</v>
          </cell>
          <cell r="B1575" t="str">
            <v>HDSATA 320.0GB Seagate ST3320613AS / 16MB  ###</v>
          </cell>
          <cell r="C1575">
            <v>0</v>
          </cell>
          <cell r="D1575">
            <v>28.5</v>
          </cell>
        </row>
        <row r="1576">
          <cell r="A1576">
            <v>2470797</v>
          </cell>
          <cell r="B1576" t="str">
            <v>Festplatte 3.5" UDMA 500GB WD5000AAKB</v>
          </cell>
          <cell r="C1576">
            <v>0</v>
          </cell>
          <cell r="D1576">
            <v>60.5</v>
          </cell>
        </row>
        <row r="1577">
          <cell r="A1577">
            <v>2470800</v>
          </cell>
          <cell r="B1577" t="str">
            <v>HDSATA  1TB Seagate ST31000333AS / 32MB ###</v>
          </cell>
          <cell r="C1577">
            <v>0</v>
          </cell>
          <cell r="D1577">
            <v>55</v>
          </cell>
        </row>
        <row r="1578">
          <cell r="A1578">
            <v>2470804</v>
          </cell>
          <cell r="B1578" t="str">
            <v>HDSATA  1.5TB Seagate ST31500341AS / 32MB ###</v>
          </cell>
          <cell r="C1578">
            <v>0</v>
          </cell>
          <cell r="D1578">
            <v>66</v>
          </cell>
        </row>
        <row r="1579">
          <cell r="A1579">
            <v>2470805</v>
          </cell>
          <cell r="B1579" t="str">
            <v>HDSATA 250.0GB Seagate ST3250310NS /S-ATA II/32MB*</v>
          </cell>
          <cell r="C1579">
            <v>0</v>
          </cell>
          <cell r="D1579">
            <v>49</v>
          </cell>
        </row>
        <row r="1580">
          <cell r="A1580">
            <v>2470807</v>
          </cell>
          <cell r="B1580" t="str">
            <v>HDSATA  1TB Seagate ST31000528AS / 32MB ###</v>
          </cell>
          <cell r="C1580">
            <v>0</v>
          </cell>
          <cell r="D1580">
            <v>44.5</v>
          </cell>
        </row>
        <row r="1581">
          <cell r="A1581">
            <v>2470808</v>
          </cell>
          <cell r="B1581" t="str">
            <v>HDSATA 160.0GB Seagate ST3160813AS / S-ATA II  ***</v>
          </cell>
          <cell r="C1581">
            <v>0</v>
          </cell>
          <cell r="D1581">
            <v>30</v>
          </cell>
        </row>
        <row r="1582">
          <cell r="A1582">
            <v>2470810</v>
          </cell>
          <cell r="B1582" t="str">
            <v>HDSATA 320.0GB Seagate ST3320418AS / 16MB  ###</v>
          </cell>
          <cell r="C1582">
            <v>0</v>
          </cell>
          <cell r="D1582">
            <v>28.5</v>
          </cell>
        </row>
        <row r="1583">
          <cell r="A1583">
            <v>2470811</v>
          </cell>
          <cell r="B1583" t="str">
            <v>Festplatte 3.5" SATA 500GB ST3500418AS</v>
          </cell>
          <cell r="C1583">
            <v>0</v>
          </cell>
          <cell r="D1583">
            <v>27.5</v>
          </cell>
        </row>
        <row r="1584">
          <cell r="A1584">
            <v>2470812</v>
          </cell>
          <cell r="B1584" t="str">
            <v>Festplatte 3.5" SATA 500GB ST3500418AS</v>
          </cell>
          <cell r="C1584">
            <v>0</v>
          </cell>
          <cell r="D1584">
            <v>27.5</v>
          </cell>
        </row>
        <row r="1585">
          <cell r="A1585">
            <v>2470813</v>
          </cell>
          <cell r="B1585" t="str">
            <v>HDSATA 160.0GB Seagate ST3160318AS / S-ATA II  ###</v>
          </cell>
          <cell r="C1585">
            <v>0</v>
          </cell>
          <cell r="D1585">
            <v>29</v>
          </cell>
        </row>
        <row r="1586">
          <cell r="A1586">
            <v>2470814</v>
          </cell>
          <cell r="B1586" t="str">
            <v>HDSATA 500.0GB Seagate ST3500410SV Surveillance</v>
          </cell>
          <cell r="C1586">
            <v>0</v>
          </cell>
          <cell r="D1586">
            <v>34.5</v>
          </cell>
        </row>
        <row r="1587">
          <cell r="A1587">
            <v>2470817</v>
          </cell>
          <cell r="B1587" t="str">
            <v>HDSATA 160.0GB Seagate ST3160813AS / S-ATA II</v>
          </cell>
          <cell r="C1587">
            <v>0</v>
          </cell>
          <cell r="D1587">
            <v>27.5</v>
          </cell>
        </row>
        <row r="1588">
          <cell r="A1588">
            <v>2470819</v>
          </cell>
          <cell r="B1588" t="str">
            <v>HDSATA  1TB Seagate ST31000525SV Surveillance</v>
          </cell>
          <cell r="C1588">
            <v>0</v>
          </cell>
          <cell r="D1588">
            <v>50</v>
          </cell>
        </row>
        <row r="1589">
          <cell r="A1589">
            <v>2470822</v>
          </cell>
          <cell r="B1589" t="str">
            <v>HDSATA  1TB Seagate ST31000524NS / 32MB ###</v>
          </cell>
          <cell r="C1589">
            <v>1</v>
          </cell>
          <cell r="D1589">
            <v>85.5</v>
          </cell>
        </row>
        <row r="1590">
          <cell r="A1590">
            <v>2470826</v>
          </cell>
          <cell r="B1590" t="str">
            <v>Festplatte 3,5" SATA 500GB ST3500514NS</v>
          </cell>
          <cell r="C1590">
            <v>1</v>
          </cell>
          <cell r="D1590">
            <v>65.23</v>
          </cell>
        </row>
        <row r="1591">
          <cell r="A1591">
            <v>2470827</v>
          </cell>
          <cell r="B1591" t="str">
            <v>Festplatte 3.5" SATA 500GB ST3500514NS</v>
          </cell>
          <cell r="C1591">
            <v>2</v>
          </cell>
          <cell r="D1591">
            <v>67.400000000000006</v>
          </cell>
        </row>
        <row r="1592">
          <cell r="A1592">
            <v>2470829</v>
          </cell>
          <cell r="B1592" t="str">
            <v>HDSATA  2TB Seagate ST32000644NS / 64MB ###</v>
          </cell>
          <cell r="C1592">
            <v>0</v>
          </cell>
          <cell r="D1592">
            <v>168.15</v>
          </cell>
        </row>
        <row r="1593">
          <cell r="A1593">
            <v>2470833</v>
          </cell>
          <cell r="B1593" t="str">
            <v>HDSATA3  2TB Seagate ST2000DL003 / Green ###</v>
          </cell>
          <cell r="C1593">
            <v>0</v>
          </cell>
          <cell r="D1593">
            <v>58.5</v>
          </cell>
        </row>
        <row r="1594">
          <cell r="A1594">
            <v>2470838</v>
          </cell>
          <cell r="B1594" t="str">
            <v>HDSATA 750.0GB Western Digital WD7500AARS / 64 MB#</v>
          </cell>
          <cell r="C1594">
            <v>0</v>
          </cell>
          <cell r="D1594">
            <v>31.5</v>
          </cell>
        </row>
        <row r="1595">
          <cell r="A1595">
            <v>2470845</v>
          </cell>
          <cell r="B1595" t="str">
            <v>Festplatte 3.5" SATA3 1TB ST31000524AS</v>
          </cell>
          <cell r="C1595">
            <v>2</v>
          </cell>
          <cell r="D1595">
            <v>48.5</v>
          </cell>
        </row>
        <row r="1596">
          <cell r="A1596">
            <v>2470846</v>
          </cell>
          <cell r="B1596" t="str">
            <v>HDSATA 500.0GB Seagate ST3500514NS / 32MB</v>
          </cell>
          <cell r="C1596">
            <v>0</v>
          </cell>
          <cell r="D1596">
            <v>55.5</v>
          </cell>
        </row>
        <row r="1597">
          <cell r="A1597">
            <v>2470848</v>
          </cell>
          <cell r="B1597" t="str">
            <v>Festplatte 3.5" SATA 1TB MK1002TSKB</v>
          </cell>
          <cell r="C1597">
            <v>0</v>
          </cell>
          <cell r="D1597">
            <v>83.77</v>
          </cell>
        </row>
        <row r="1598">
          <cell r="A1598">
            <v>2470850</v>
          </cell>
          <cell r="B1598" t="str">
            <v>HDSATA  80.0GB Western Digital WD800AAJS /S-ATAII</v>
          </cell>
          <cell r="C1598">
            <v>0</v>
          </cell>
          <cell r="D1598">
            <v>29.5</v>
          </cell>
        </row>
        <row r="1599">
          <cell r="A1599">
            <v>2470856</v>
          </cell>
          <cell r="B1599" t="str">
            <v>Festplatte 3.5" SATA3 2TB WD20EARX</v>
          </cell>
          <cell r="C1599">
            <v>0</v>
          </cell>
          <cell r="D1599">
            <v>90</v>
          </cell>
        </row>
        <row r="1600">
          <cell r="A1600">
            <v>2470861</v>
          </cell>
          <cell r="B1600" t="str">
            <v>HDSATA3 500.0GB Seagate ST3500413AS / 16MB ###</v>
          </cell>
          <cell r="C1600">
            <v>0</v>
          </cell>
          <cell r="D1600">
            <v>10</v>
          </cell>
        </row>
        <row r="1601">
          <cell r="A1601">
            <v>2470868</v>
          </cell>
          <cell r="B1601" t="str">
            <v>Festplatte 3,5" SATA 2TB ST2000NM0011</v>
          </cell>
          <cell r="C1601">
            <v>48</v>
          </cell>
          <cell r="D1601">
            <v>139.9</v>
          </cell>
        </row>
        <row r="1602">
          <cell r="A1602">
            <v>2470870</v>
          </cell>
          <cell r="B1602" t="str">
            <v>Festplatte 3.5" HDSATA3 500.0GB ST500NM0011</v>
          </cell>
          <cell r="C1602">
            <v>0</v>
          </cell>
          <cell r="D1602">
            <v>70</v>
          </cell>
        </row>
        <row r="1603">
          <cell r="A1603">
            <v>2470873</v>
          </cell>
          <cell r="B1603" t="str">
            <v>HDD 3.5" 500GB 7200rpm SATA3</v>
          </cell>
          <cell r="C1603">
            <v>15</v>
          </cell>
          <cell r="D1603">
            <v>35.9</v>
          </cell>
        </row>
        <row r="1604">
          <cell r="A1604">
            <v>2470877</v>
          </cell>
          <cell r="B1604" t="str">
            <v>HDSATA3  500.0GB Seagate ST500NM0011 / Raid</v>
          </cell>
          <cell r="C1604">
            <v>0</v>
          </cell>
          <cell r="D1604">
            <v>70</v>
          </cell>
        </row>
        <row r="1605">
          <cell r="A1605">
            <v>2470879</v>
          </cell>
          <cell r="B1605" t="str">
            <v>HDSATA3 500.0GB Seagate ST500DM002 / 16 MB ###***</v>
          </cell>
          <cell r="C1605">
            <v>0</v>
          </cell>
          <cell r="D1605">
            <v>26.5</v>
          </cell>
        </row>
        <row r="1606">
          <cell r="A1606">
            <v>2470886</v>
          </cell>
          <cell r="B1606" t="str">
            <v>HDSATA 500.0GB Western Digital WD5000YS / Raid Ed.</v>
          </cell>
          <cell r="C1606">
            <v>0</v>
          </cell>
          <cell r="D1606">
            <v>169.5</v>
          </cell>
        </row>
        <row r="1607">
          <cell r="A1607">
            <v>2470893</v>
          </cell>
          <cell r="B1607" t="str">
            <v>HDSATA 750.0GB Western Digital WD7502ABYS / Raid</v>
          </cell>
          <cell r="C1607">
            <v>0</v>
          </cell>
          <cell r="D1607">
            <v>94.5</v>
          </cell>
        </row>
        <row r="1608">
          <cell r="A1608">
            <v>2470894</v>
          </cell>
          <cell r="B1608" t="str">
            <v>HDSATA  1TB Western Digital WD1002FBYS / Raid</v>
          </cell>
          <cell r="C1608">
            <v>0</v>
          </cell>
          <cell r="D1608">
            <v>115</v>
          </cell>
        </row>
        <row r="1609">
          <cell r="A1609">
            <v>2470896</v>
          </cell>
          <cell r="B1609" t="str">
            <v>HDSATA 500.0GB Western Digital WD5002ABYS / Raid##</v>
          </cell>
          <cell r="C1609">
            <v>0</v>
          </cell>
          <cell r="D1609">
            <v>56.5</v>
          </cell>
        </row>
        <row r="1610">
          <cell r="A1610">
            <v>2470898</v>
          </cell>
          <cell r="B1610" t="str">
            <v>HDSATA 320.0GB Western Digital WD3202ABYS / Raid</v>
          </cell>
          <cell r="C1610">
            <v>0</v>
          </cell>
          <cell r="D1610">
            <v>52.5</v>
          </cell>
        </row>
        <row r="1611">
          <cell r="A1611">
            <v>2470899</v>
          </cell>
          <cell r="B1611" t="str">
            <v>HDSATA 500.0GB Western Digital WD5002ABYS / Raid</v>
          </cell>
          <cell r="C1611">
            <v>0</v>
          </cell>
          <cell r="D1611">
            <v>57.51</v>
          </cell>
        </row>
        <row r="1612">
          <cell r="A1612">
            <v>2470903</v>
          </cell>
          <cell r="B1612" t="str">
            <v>HDSATA  1TB Western Digital WD1003FBYX / Raid ###</v>
          </cell>
          <cell r="C1612">
            <v>0</v>
          </cell>
          <cell r="D1612">
            <v>75</v>
          </cell>
        </row>
        <row r="1613">
          <cell r="A1613">
            <v>2470905</v>
          </cell>
          <cell r="B1613" t="str">
            <v>HDSATA  1TB Western Digital WD1003FBYX / Raid</v>
          </cell>
          <cell r="C1613">
            <v>0</v>
          </cell>
          <cell r="D1613">
            <v>64.5</v>
          </cell>
        </row>
        <row r="1614">
          <cell r="A1614">
            <v>2470913</v>
          </cell>
          <cell r="B1614" t="str">
            <v>HDSATA3  1TB Hitachi HDS721010DLE630 / 7200rpm</v>
          </cell>
          <cell r="C1614">
            <v>0</v>
          </cell>
          <cell r="D1614">
            <v>78.5</v>
          </cell>
        </row>
        <row r="1615">
          <cell r="A1615">
            <v>2470923</v>
          </cell>
          <cell r="B1615" t="str">
            <v>Festplatte 3.5" SATA3 1TB ST31000524AS</v>
          </cell>
          <cell r="C1615">
            <v>0</v>
          </cell>
          <cell r="D1615">
            <v>55.9</v>
          </cell>
        </row>
        <row r="1616">
          <cell r="A1616">
            <v>2470924</v>
          </cell>
          <cell r="B1616" t="str">
            <v>Festplatte 500GB SATA ST500DM002</v>
          </cell>
          <cell r="C1616">
            <v>37</v>
          </cell>
          <cell r="D1616">
            <v>38.9</v>
          </cell>
        </row>
        <row r="1617">
          <cell r="A1617">
            <v>2470925</v>
          </cell>
          <cell r="B1617" t="str">
            <v>Festplatte 3.5" HDSATA 3 2TB ST2000DL003</v>
          </cell>
          <cell r="C1617">
            <v>0</v>
          </cell>
          <cell r="D1617">
            <v>87</v>
          </cell>
        </row>
        <row r="1618">
          <cell r="A1618">
            <v>2470926</v>
          </cell>
          <cell r="B1618" t="str">
            <v>HDD 3.5" 1TB 7200rpm SATA3</v>
          </cell>
          <cell r="C1618">
            <v>89</v>
          </cell>
          <cell r="D1618">
            <v>43.5</v>
          </cell>
        </row>
        <row r="1619">
          <cell r="A1619">
            <v>2470933</v>
          </cell>
          <cell r="B1619" t="str">
            <v>HDSATA  1TB Toshiba MK1002TSKB / Raid Edition</v>
          </cell>
          <cell r="C1619">
            <v>0</v>
          </cell>
          <cell r="D1619">
            <v>109</v>
          </cell>
        </row>
        <row r="1620">
          <cell r="A1620">
            <v>2470935</v>
          </cell>
          <cell r="B1620" t="str">
            <v>HDD 3.5" 2TB 7200rpm SATA3</v>
          </cell>
          <cell r="C1620">
            <v>0</v>
          </cell>
          <cell r="D1620">
            <v>65.900000000000006</v>
          </cell>
        </row>
        <row r="1621">
          <cell r="A1621">
            <v>2470940</v>
          </cell>
          <cell r="B1621" t="str">
            <v>Festplatte 3.5" SATA3 1TB ST1000VX000</v>
          </cell>
          <cell r="C1621">
            <v>0</v>
          </cell>
          <cell r="D1621">
            <v>99.5</v>
          </cell>
        </row>
        <row r="1622">
          <cell r="A1622">
            <v>2470956</v>
          </cell>
          <cell r="B1622" t="str">
            <v>Festplatte 3.5" 1TB SATA ST1000NM0011</v>
          </cell>
          <cell r="C1622">
            <v>249</v>
          </cell>
          <cell r="D1622">
            <v>75</v>
          </cell>
        </row>
        <row r="1623">
          <cell r="A1623">
            <v>2470957</v>
          </cell>
          <cell r="B1623" t="str">
            <v>Festplatte 3.5" 500 GB ST500NM0011 HDSATA 3</v>
          </cell>
          <cell r="C1623">
            <v>145</v>
          </cell>
          <cell r="D1623">
            <v>63</v>
          </cell>
        </row>
        <row r="1624">
          <cell r="A1624">
            <v>2471112</v>
          </cell>
          <cell r="B1624" t="str">
            <v>Cardreader 24-in-1 + USB-Port intern 3.5" "DeLock"</v>
          </cell>
          <cell r="C1624">
            <v>0</v>
          </cell>
          <cell r="D1624">
            <v>10</v>
          </cell>
        </row>
        <row r="1625">
          <cell r="A1625">
            <v>2471113</v>
          </cell>
          <cell r="B1625" t="str">
            <v>DeLock Cardreader 40-in-1 + USB-Port intern 3.5"**</v>
          </cell>
          <cell r="C1625">
            <v>0</v>
          </cell>
          <cell r="D1625">
            <v>12.9</v>
          </cell>
        </row>
        <row r="1626">
          <cell r="A1626">
            <v>2471115</v>
          </cell>
          <cell r="B1626" t="str">
            <v>Cardreader 24-in-1 + lichtgrau int. 3.5"***</v>
          </cell>
          <cell r="C1626">
            <v>0</v>
          </cell>
          <cell r="D1626">
            <v>5.9</v>
          </cell>
        </row>
        <row r="1627">
          <cell r="A1627">
            <v>2471125</v>
          </cell>
          <cell r="B1627" t="str">
            <v>Cardreader 19-in-1 intern 3.5" BLACK Bulk</v>
          </cell>
          <cell r="C1627">
            <v>0</v>
          </cell>
          <cell r="D1627">
            <v>5.9</v>
          </cell>
        </row>
        <row r="1628">
          <cell r="A1628">
            <v>2475017</v>
          </cell>
          <cell r="B1628" t="str">
            <v>HDD 2,5" 2TB 5400 rpm SATA3</v>
          </cell>
          <cell r="C1628">
            <v>0</v>
          </cell>
          <cell r="D1628">
            <v>117.9</v>
          </cell>
        </row>
        <row r="1629">
          <cell r="A1629">
            <v>2500155</v>
          </cell>
          <cell r="B1629" t="str">
            <v>AOpen VGA AGP8x 128DDR  GF-MX4000 TD Retail</v>
          </cell>
          <cell r="C1629">
            <v>0</v>
          </cell>
          <cell r="D1629">
            <v>23</v>
          </cell>
        </row>
        <row r="1630">
          <cell r="A1630">
            <v>2500156</v>
          </cell>
          <cell r="B1630" t="str">
            <v>AOpen VGA AGPx8 64DDR GF4-MX440 T</v>
          </cell>
          <cell r="C1630">
            <v>0</v>
          </cell>
          <cell r="D1630">
            <v>43</v>
          </cell>
        </row>
        <row r="1631">
          <cell r="A1631">
            <v>2500170</v>
          </cell>
          <cell r="B1631" t="str">
            <v>AOpen VGA AGP8x 128DDR GF-6600GT TD Retail</v>
          </cell>
          <cell r="C1631">
            <v>0</v>
          </cell>
          <cell r="D1631">
            <v>109</v>
          </cell>
        </row>
        <row r="1632">
          <cell r="A1632">
            <v>2500187</v>
          </cell>
          <cell r="B1632" t="str">
            <v>AOpen VGA PCI-E 128DDR GF-6200TC TD Retail</v>
          </cell>
          <cell r="C1632">
            <v>0</v>
          </cell>
          <cell r="D1632">
            <v>36</v>
          </cell>
        </row>
        <row r="1633">
          <cell r="A1633">
            <v>2510014</v>
          </cell>
          <cell r="B1633" t="str">
            <v>ASUS VGA PCI-E 256MB GF-7300GT TD Silencer bulk</v>
          </cell>
          <cell r="C1633">
            <v>0</v>
          </cell>
          <cell r="D1633">
            <v>31</v>
          </cell>
        </row>
        <row r="1634">
          <cell r="A1634">
            <v>2510040</v>
          </cell>
          <cell r="B1634" t="str">
            <v>ASUS VGA PCIe  256MB GF-7300GT Silent TD Retail</v>
          </cell>
          <cell r="C1634">
            <v>0</v>
          </cell>
          <cell r="D1634">
            <v>30</v>
          </cell>
        </row>
        <row r="1635">
          <cell r="A1635">
            <v>2510051</v>
          </cell>
          <cell r="B1635" t="str">
            <v>ASUS VGA PCIe 256MB GF-8500GT TD Silent bulk</v>
          </cell>
          <cell r="C1635">
            <v>0</v>
          </cell>
          <cell r="D1635">
            <v>57</v>
          </cell>
        </row>
        <row r="1636">
          <cell r="A1636">
            <v>2510083</v>
          </cell>
          <cell r="B1636" t="str">
            <v>ASUS VGA  ATI PCIe  256MB HD3450 TD Silent Retail</v>
          </cell>
          <cell r="C1636">
            <v>0</v>
          </cell>
          <cell r="D1636">
            <v>26</v>
          </cell>
        </row>
        <row r="1637">
          <cell r="A1637">
            <v>2510094</v>
          </cell>
          <cell r="B1637" t="str">
            <v>ASUS VGA  ATI PCIe  512MB HD4350 HD LP Silent Ret.</v>
          </cell>
          <cell r="C1637">
            <v>0</v>
          </cell>
          <cell r="D1637">
            <v>21</v>
          </cell>
        </row>
        <row r="1638">
          <cell r="A1638">
            <v>2510106</v>
          </cell>
          <cell r="B1638" t="str">
            <v>ASUS VGA PCIe 1024MB GF-9500GT HD Retail</v>
          </cell>
          <cell r="C1638">
            <v>0</v>
          </cell>
          <cell r="D1638">
            <v>43</v>
          </cell>
        </row>
        <row r="1639">
          <cell r="A1639">
            <v>2510129</v>
          </cell>
          <cell r="B1639" t="str">
            <v>ASUS VGA PCIe  512MB GF-8400GS VGA/DVI Silent Ret.</v>
          </cell>
          <cell r="C1639">
            <v>0</v>
          </cell>
          <cell r="D1639">
            <v>21.9</v>
          </cell>
        </row>
        <row r="1640">
          <cell r="A1640">
            <v>2510141</v>
          </cell>
          <cell r="B1640" t="str">
            <v>ASUS VGA PCIe  512MB GF-210 HD LP Silent Retail</v>
          </cell>
          <cell r="C1640">
            <v>0</v>
          </cell>
          <cell r="D1640">
            <v>20.9</v>
          </cell>
        </row>
        <row r="1641">
          <cell r="A1641">
            <v>2510148</v>
          </cell>
          <cell r="B1641" t="str">
            <v>ASUS VGA PCIe  512MB GF-8400GS VGA/DVI Silent Ret.</v>
          </cell>
          <cell r="C1641">
            <v>0</v>
          </cell>
          <cell r="D1641">
            <v>26.9</v>
          </cell>
        </row>
        <row r="1642">
          <cell r="A1642">
            <v>2510149</v>
          </cell>
          <cell r="B1642" t="str">
            <v>Grafikkarte PCIe 1024MB GF-GT240 HD Silient</v>
          </cell>
          <cell r="C1642">
            <v>4</v>
          </cell>
          <cell r="D1642">
            <v>75.900000000000006</v>
          </cell>
        </row>
        <row r="1643">
          <cell r="A1643">
            <v>2510156</v>
          </cell>
          <cell r="B1643" t="str">
            <v>ASUS VGA  ATI PCIe 1024MB HD5450 HD Silent Retail</v>
          </cell>
          <cell r="C1643">
            <v>0</v>
          </cell>
          <cell r="D1643">
            <v>27.9</v>
          </cell>
        </row>
        <row r="1644">
          <cell r="A1644">
            <v>2510170</v>
          </cell>
          <cell r="B1644" t="str">
            <v>YY ASUS VGA PCIe  512MB GF-8400GS HD LP Silent Ret</v>
          </cell>
          <cell r="C1644">
            <v>2</v>
          </cell>
          <cell r="D1644">
            <v>22.9</v>
          </cell>
        </row>
        <row r="1645">
          <cell r="A1645">
            <v>2510183</v>
          </cell>
          <cell r="B1645" t="str">
            <v>ASUS VGA PCIe 1024MB GF-GT520 HD LP Silent Ret.</v>
          </cell>
          <cell r="C1645">
            <v>0</v>
          </cell>
          <cell r="D1645">
            <v>35</v>
          </cell>
        </row>
        <row r="1646">
          <cell r="A1646">
            <v>2510188</v>
          </cell>
          <cell r="B1646" t="str">
            <v>ASUS VGA PCIe 1024MB GF-GT430 HD Silent Retail</v>
          </cell>
          <cell r="C1646">
            <v>0</v>
          </cell>
          <cell r="D1646">
            <v>27.44</v>
          </cell>
        </row>
        <row r="1647">
          <cell r="A1647">
            <v>2510190</v>
          </cell>
          <cell r="B1647" t="str">
            <v>ASUS VGA PCIe 1024MB GF-GTS450 DC HD Silent Retail</v>
          </cell>
          <cell r="C1647">
            <v>0</v>
          </cell>
          <cell r="D1647">
            <v>75.900000000000006</v>
          </cell>
        </row>
        <row r="1648">
          <cell r="A1648">
            <v>2510201</v>
          </cell>
          <cell r="B1648" t="str">
            <v>ASUS VGA  ATI PCIe 1024MB HD5450 HD Silent Retail</v>
          </cell>
          <cell r="C1648">
            <v>0</v>
          </cell>
          <cell r="D1648">
            <v>29.9</v>
          </cell>
        </row>
        <row r="1649">
          <cell r="A1649">
            <v>2510207</v>
          </cell>
          <cell r="B1649" t="str">
            <v>ASUS VGA PCIe 1024MB GF-GT520 HD LP Silent Ret.</v>
          </cell>
          <cell r="C1649">
            <v>0</v>
          </cell>
          <cell r="D1649">
            <v>35</v>
          </cell>
        </row>
        <row r="1650">
          <cell r="A1650">
            <v>2530015</v>
          </cell>
          <cell r="B1650" t="str">
            <v>VGA Sparkle PCIe  256MB GF-7200GS LP TD bulk</v>
          </cell>
          <cell r="C1650">
            <v>0</v>
          </cell>
          <cell r="D1650">
            <v>21.42</v>
          </cell>
        </row>
        <row r="1651">
          <cell r="A1651">
            <v>2530018</v>
          </cell>
          <cell r="B1651" t="str">
            <v>Grafikkarte AGP 128MB GF-FX5200T</v>
          </cell>
          <cell r="C1651">
            <v>34</v>
          </cell>
          <cell r="D1651">
            <v>25.19</v>
          </cell>
        </row>
        <row r="1652">
          <cell r="A1652">
            <v>2530020</v>
          </cell>
          <cell r="B1652" t="str">
            <v>VGA Sparkle PCIe  512MB GF-8400GS TD Passiv</v>
          </cell>
          <cell r="C1652">
            <v>0</v>
          </cell>
          <cell r="D1652">
            <v>22.9</v>
          </cell>
        </row>
        <row r="1653">
          <cell r="A1653">
            <v>2530046</v>
          </cell>
          <cell r="B1653" t="str">
            <v>VGA Sparkle PCIe 2048MB GF-GTX460 mH/2xDVI Retail</v>
          </cell>
          <cell r="C1653">
            <v>0</v>
          </cell>
          <cell r="D1653">
            <v>151.9</v>
          </cell>
        </row>
        <row r="1654">
          <cell r="A1654">
            <v>2550053</v>
          </cell>
          <cell r="B1654" t="str">
            <v>MATROX PCI P650 64DDR LFH (DVI/DVI) LowPro bulk+++</v>
          </cell>
          <cell r="C1654">
            <v>1</v>
          </cell>
          <cell r="D1654">
            <v>148</v>
          </cell>
        </row>
        <row r="1655">
          <cell r="A1655">
            <v>2550059</v>
          </cell>
          <cell r="B1655" t="str">
            <v>MATROX PCI-E x1 32DDR G550DH (DVI/DVI) Retail</v>
          </cell>
          <cell r="C1655">
            <v>0</v>
          </cell>
          <cell r="D1655">
            <v>85</v>
          </cell>
        </row>
        <row r="1656">
          <cell r="A1656">
            <v>2550064</v>
          </cell>
          <cell r="B1656" t="str">
            <v>MATROX AGP4x G550DH 32MB DDRAM DVI/VGA bulk</v>
          </cell>
          <cell r="C1656">
            <v>0</v>
          </cell>
          <cell r="D1656">
            <v>69</v>
          </cell>
        </row>
        <row r="1657">
          <cell r="A1657">
            <v>2550078</v>
          </cell>
          <cell r="B1657" t="str">
            <v>MATROX PCIe P690 128MB (2xDVI/VGA) Retail</v>
          </cell>
          <cell r="C1657">
            <v>0</v>
          </cell>
          <cell r="D1657">
            <v>108</v>
          </cell>
        </row>
        <row r="1658">
          <cell r="A1658">
            <v>2550088</v>
          </cell>
          <cell r="B1658" t="str">
            <v>Framegrabber Matrox Solios 6MCLBE</v>
          </cell>
          <cell r="C1658">
            <v>25</v>
          </cell>
          <cell r="D1658">
            <v>350</v>
          </cell>
        </row>
        <row r="1659">
          <cell r="A1659">
            <v>2550097</v>
          </cell>
          <cell r="B1659" t="str">
            <v>Framegrabber Matrox AVCIO</v>
          </cell>
          <cell r="C1659">
            <v>2</v>
          </cell>
          <cell r="D1659">
            <v>1845.75</v>
          </cell>
        </row>
        <row r="1660">
          <cell r="A1660">
            <v>2550106</v>
          </cell>
          <cell r="B1660" t="str">
            <v>Adapter DVI IN/OUT</v>
          </cell>
          <cell r="C1660">
            <v>129</v>
          </cell>
          <cell r="D1660">
            <v>49</v>
          </cell>
        </row>
        <row r="1661">
          <cell r="A1661">
            <v>2550107</v>
          </cell>
          <cell r="B1661" t="str">
            <v>Framegrabber Matrox X.AVCIO</v>
          </cell>
          <cell r="C1661">
            <v>2</v>
          </cell>
          <cell r="D1661">
            <v>1411.49</v>
          </cell>
        </row>
        <row r="1662">
          <cell r="A1662">
            <v>2560032</v>
          </cell>
          <cell r="B1662" t="str">
            <v>Adapter DVI-I =&gt; VGA (15pol. analog)</v>
          </cell>
          <cell r="C1662">
            <v>0</v>
          </cell>
          <cell r="D1662">
            <v>2</v>
          </cell>
        </row>
        <row r="1663">
          <cell r="A1663">
            <v>2560141</v>
          </cell>
          <cell r="B1663" t="str">
            <v>ATI Sapphire AGP8x 256DDR R9550 TD LiRe</v>
          </cell>
          <cell r="C1663">
            <v>0</v>
          </cell>
          <cell r="D1663">
            <v>39.799999999999997</v>
          </cell>
        </row>
        <row r="1664">
          <cell r="A1664">
            <v>2560162</v>
          </cell>
          <cell r="B1664" t="str">
            <v>ATI Sapphire AGP8x 128DDR R9250 TVD -12bit- bulk</v>
          </cell>
          <cell r="C1664">
            <v>0</v>
          </cell>
          <cell r="D1664">
            <v>40.5</v>
          </cell>
        </row>
        <row r="1665">
          <cell r="A1665">
            <v>2560178</v>
          </cell>
          <cell r="B1665" t="str">
            <v>ATI Sapphire PCI-E 128MB RX300SE TD bulk</v>
          </cell>
          <cell r="C1665">
            <v>0</v>
          </cell>
          <cell r="D1665">
            <v>36</v>
          </cell>
        </row>
        <row r="1666">
          <cell r="A1666">
            <v>2560186</v>
          </cell>
          <cell r="B1666" t="str">
            <v>ATI Sapphire AGP8x 128DDR R9250 TD    -64bit- bulk</v>
          </cell>
          <cell r="C1666">
            <v>0</v>
          </cell>
          <cell r="D1666">
            <v>32</v>
          </cell>
        </row>
        <row r="1667">
          <cell r="A1667">
            <v>2560213</v>
          </cell>
          <cell r="B1667" t="str">
            <v>ATI Sapphire PCI-E 256MB RX550 -128bit- TVD LiRe</v>
          </cell>
          <cell r="C1667">
            <v>0</v>
          </cell>
          <cell r="D1667">
            <v>47.5</v>
          </cell>
        </row>
        <row r="1668">
          <cell r="A1668">
            <v>2560214</v>
          </cell>
          <cell r="B1668" t="str">
            <v>ATI Sapphire PCI-E 128MB RX550 - 64bit- TD bulk</v>
          </cell>
          <cell r="C1668">
            <v>0</v>
          </cell>
          <cell r="D1668">
            <v>47</v>
          </cell>
        </row>
        <row r="1669">
          <cell r="A1669">
            <v>2560215</v>
          </cell>
          <cell r="B1669" t="str">
            <v>ATI Sapphire PCI-E 256MB RX800GTO TD LiRe</v>
          </cell>
          <cell r="C1669">
            <v>0</v>
          </cell>
          <cell r="D1669">
            <v>118</v>
          </cell>
        </row>
        <row r="1670">
          <cell r="A1670">
            <v>2560218</v>
          </cell>
          <cell r="B1670" t="str">
            <v>ATI Sapphire PCI-E 128MB RX550 -128bit- TD bulk</v>
          </cell>
          <cell r="C1670">
            <v>0</v>
          </cell>
          <cell r="D1670">
            <v>52</v>
          </cell>
        </row>
        <row r="1671">
          <cell r="A1671">
            <v>2560219</v>
          </cell>
          <cell r="B1671" t="str">
            <v>ATI Sapphire PCI-E 256MB RX550 -128bit- TD bulk</v>
          </cell>
          <cell r="C1671">
            <v>0</v>
          </cell>
          <cell r="D1671">
            <v>55</v>
          </cell>
        </row>
        <row r="1672">
          <cell r="A1672">
            <v>2560230</v>
          </cell>
          <cell r="B1672" t="str">
            <v>ATI Sapphire PCI-E 128MB RX550</v>
          </cell>
          <cell r="C1672">
            <v>0</v>
          </cell>
          <cell r="D1672">
            <v>35</v>
          </cell>
        </row>
        <row r="1673">
          <cell r="A1673">
            <v>2560231</v>
          </cell>
          <cell r="B1673" t="str">
            <v>ATI Sapphire Zubehör LP-Slotblech DVI/TV-OUT</v>
          </cell>
          <cell r="C1673">
            <v>0</v>
          </cell>
          <cell r="D1673">
            <v>1</v>
          </cell>
        </row>
        <row r="1674">
          <cell r="A1674">
            <v>2560235</v>
          </cell>
          <cell r="B1674" t="str">
            <v>ATI Sapphire AGP8x 256MB RX1300 TD LiRe</v>
          </cell>
          <cell r="C1674">
            <v>0</v>
          </cell>
          <cell r="D1674">
            <v>87</v>
          </cell>
        </row>
        <row r="1675">
          <cell r="A1675">
            <v>2560237</v>
          </cell>
          <cell r="B1675" t="str">
            <v>ATI Sapphire PCI-E 512MB RX1900XT TV2xD FuRe</v>
          </cell>
          <cell r="C1675">
            <v>0</v>
          </cell>
          <cell r="D1675">
            <v>300</v>
          </cell>
        </row>
        <row r="1676">
          <cell r="A1676">
            <v>2560242</v>
          </cell>
          <cell r="B1676" t="str">
            <v>ATI Sapphire PCI-E 256MB RX1600Pro TD LiRe RoHS</v>
          </cell>
          <cell r="C1676">
            <v>0</v>
          </cell>
          <cell r="D1676">
            <v>66</v>
          </cell>
        </row>
        <row r="1677">
          <cell r="A1677">
            <v>2560243</v>
          </cell>
          <cell r="B1677" t="str">
            <v>ATI Sapphire PCI-E 256MB RX550 TD LowPro LiRe</v>
          </cell>
          <cell r="C1677">
            <v>0</v>
          </cell>
          <cell r="D1677">
            <v>49</v>
          </cell>
        </row>
        <row r="1678">
          <cell r="A1678">
            <v>2560249</v>
          </cell>
          <cell r="B1678" t="str">
            <v>ATI Sapphire PCI-E 256MB RX1600Pro TVD bulk***</v>
          </cell>
          <cell r="C1678">
            <v>0</v>
          </cell>
          <cell r="D1678">
            <v>75</v>
          </cell>
        </row>
        <row r="1679">
          <cell r="A1679">
            <v>2560278</v>
          </cell>
          <cell r="B1679" t="str">
            <v>ATI Sapphire AGP8x 512MB RX1650Pro TD LiRe</v>
          </cell>
          <cell r="C1679">
            <v>0</v>
          </cell>
          <cell r="D1679">
            <v>40</v>
          </cell>
        </row>
        <row r="1680">
          <cell r="A1680">
            <v>2560279</v>
          </cell>
          <cell r="B1680" t="str">
            <v>ATI Sapphire PCI-E 128MB RX1050 TD bulk</v>
          </cell>
          <cell r="C1680">
            <v>0</v>
          </cell>
          <cell r="D1680">
            <v>28</v>
          </cell>
        </row>
        <row r="1681">
          <cell r="A1681">
            <v>2560280</v>
          </cell>
          <cell r="B1681" t="str">
            <v>ATI Sapphire PCI-E 256MB RX1050 TD LiRe</v>
          </cell>
          <cell r="C1681">
            <v>0</v>
          </cell>
          <cell r="D1681">
            <v>37</v>
          </cell>
        </row>
        <row r="1682">
          <cell r="A1682">
            <v>2560296</v>
          </cell>
          <cell r="B1682" t="str">
            <v>ATI Sapphire PCIe  256MB HD2400Pro TD LiRe Silent</v>
          </cell>
          <cell r="C1682">
            <v>0</v>
          </cell>
          <cell r="D1682">
            <v>27</v>
          </cell>
        </row>
        <row r="1683">
          <cell r="A1683">
            <v>2560303</v>
          </cell>
          <cell r="B1683" t="str">
            <v>ATI Sapphire PCIe  256MB HD2400XT TD bulk Silent</v>
          </cell>
          <cell r="C1683">
            <v>0</v>
          </cell>
          <cell r="D1683">
            <v>29.58</v>
          </cell>
        </row>
        <row r="1684">
          <cell r="A1684">
            <v>2560312</v>
          </cell>
          <cell r="B1684" t="str">
            <v>ATI Sapphire PCIe  512MB HD3450 T2xD LiRe</v>
          </cell>
          <cell r="C1684">
            <v>0</v>
          </cell>
          <cell r="D1684">
            <v>29.5</v>
          </cell>
        </row>
        <row r="1685">
          <cell r="A1685">
            <v>2560313</v>
          </cell>
          <cell r="B1685" t="str">
            <v>ATI Sapphire PCIe  512MB HD3870 Ultimate T2xD FuRe</v>
          </cell>
          <cell r="C1685">
            <v>0</v>
          </cell>
          <cell r="D1685">
            <v>91</v>
          </cell>
        </row>
        <row r="1686">
          <cell r="A1686">
            <v>2560327</v>
          </cell>
          <cell r="B1686" t="str">
            <v>ATI Sapphire PCIe  256MB HD2400Pro TD LiRe Silent</v>
          </cell>
          <cell r="C1686">
            <v>0</v>
          </cell>
          <cell r="D1686">
            <v>19.899999999999999</v>
          </cell>
        </row>
        <row r="1687">
          <cell r="A1687">
            <v>2560332</v>
          </cell>
          <cell r="B1687" t="str">
            <v>ATI Sapphire AGP8x  512MB HD3650 T2xD LiRe</v>
          </cell>
          <cell r="C1687">
            <v>0</v>
          </cell>
          <cell r="D1687">
            <v>42.35</v>
          </cell>
        </row>
        <row r="1688">
          <cell r="A1688">
            <v>2560335</v>
          </cell>
          <cell r="B1688" t="str">
            <v>ATI Sapphire PCIe  512MB HD3650 T2xD GDDR4 LiRe</v>
          </cell>
          <cell r="C1688">
            <v>0</v>
          </cell>
          <cell r="D1688">
            <v>49.5</v>
          </cell>
        </row>
        <row r="1689">
          <cell r="A1689">
            <v>2560342</v>
          </cell>
          <cell r="B1689" t="str">
            <v>VGA Adapter HDMI =&gt; DVI-D (Stecker/Buchse)</v>
          </cell>
          <cell r="C1689">
            <v>0</v>
          </cell>
          <cell r="D1689">
            <v>2.4900000000000002</v>
          </cell>
        </row>
        <row r="1690">
          <cell r="A1690">
            <v>2560344</v>
          </cell>
          <cell r="B1690" t="str">
            <v>ATI Sapphire PCIe  512MB HD3850 T2xD LiRe</v>
          </cell>
          <cell r="C1690">
            <v>0</v>
          </cell>
          <cell r="D1690">
            <v>58</v>
          </cell>
        </row>
        <row r="1691">
          <cell r="A1691">
            <v>2560345</v>
          </cell>
          <cell r="B1691" t="str">
            <v>ATI Sapphire PCIe  512MB HD2400Pro TD Silent bulk</v>
          </cell>
          <cell r="C1691">
            <v>0</v>
          </cell>
          <cell r="D1691">
            <v>21.25</v>
          </cell>
        </row>
        <row r="1692">
          <cell r="A1692">
            <v>2560347</v>
          </cell>
          <cell r="B1692" t="str">
            <v>ATI Sapphire PCIe  512MB HD4550 HD LP LiRe Silent</v>
          </cell>
          <cell r="C1692">
            <v>0</v>
          </cell>
          <cell r="D1692">
            <v>29.35</v>
          </cell>
        </row>
        <row r="1693">
          <cell r="A1693">
            <v>2560348</v>
          </cell>
          <cell r="B1693" t="str">
            <v>ATI Sapphire PCIe  512MB HD4350 HD LP LiRe Silent</v>
          </cell>
          <cell r="C1693">
            <v>0</v>
          </cell>
          <cell r="D1693">
            <v>24.5</v>
          </cell>
        </row>
        <row r="1694">
          <cell r="A1694">
            <v>2560353</v>
          </cell>
          <cell r="B1694" t="str">
            <v>ATI Sapphire PCIe 1024MB HD4650 HD LiRe</v>
          </cell>
          <cell r="C1694">
            <v>0</v>
          </cell>
          <cell r="D1694">
            <v>44.35</v>
          </cell>
        </row>
        <row r="1695">
          <cell r="A1695">
            <v>2560355</v>
          </cell>
          <cell r="B1695" t="str">
            <v>ATI Sapphire PCIe  256MB HD4350 HD LP LiRe Silent</v>
          </cell>
          <cell r="C1695">
            <v>0</v>
          </cell>
          <cell r="D1695">
            <v>21</v>
          </cell>
        </row>
        <row r="1696">
          <cell r="A1696">
            <v>2560357</v>
          </cell>
          <cell r="B1696" t="str">
            <v>ATI Sapphire PCIe  512MB HD4770 T2xD LiRe</v>
          </cell>
          <cell r="C1696">
            <v>0</v>
          </cell>
          <cell r="D1696">
            <v>80</v>
          </cell>
        </row>
        <row r="1697">
          <cell r="A1697">
            <v>2560367</v>
          </cell>
          <cell r="B1697" t="str">
            <v>ATI Sapphire AGP8x  512MB HD4650 T2xD LiRe</v>
          </cell>
          <cell r="C1697">
            <v>0</v>
          </cell>
          <cell r="D1697">
            <v>54.85</v>
          </cell>
        </row>
        <row r="1698">
          <cell r="A1698">
            <v>2560382</v>
          </cell>
          <cell r="B1698" t="str">
            <v>Grafikkarte PCIe 512MB HD5450 HD Silent</v>
          </cell>
          <cell r="C1698">
            <v>0</v>
          </cell>
          <cell r="D1698">
            <v>21</v>
          </cell>
        </row>
        <row r="1699">
          <cell r="A1699">
            <v>2560392</v>
          </cell>
          <cell r="B1699" t="str">
            <v>ATI Sapphire PCIe 1024MB HD4350 T2xD Silent LiR***</v>
          </cell>
          <cell r="C1699">
            <v>0</v>
          </cell>
          <cell r="D1699">
            <v>39.85</v>
          </cell>
        </row>
        <row r="1700">
          <cell r="A1700">
            <v>2560404</v>
          </cell>
          <cell r="B1700" t="str">
            <v>Equip Adapter DVI =&gt; HDMI (Stecker/Buchse)</v>
          </cell>
          <cell r="C1700">
            <v>0</v>
          </cell>
          <cell r="D1700">
            <v>2.4900000000000002</v>
          </cell>
        </row>
        <row r="1701">
          <cell r="A1701">
            <v>2560405</v>
          </cell>
          <cell r="B1701" t="str">
            <v>Adapter HDMI =&gt; DVI (Stecker/Buchse)</v>
          </cell>
          <cell r="C1701">
            <v>0</v>
          </cell>
          <cell r="D1701">
            <v>2.4900000000000002</v>
          </cell>
        </row>
        <row r="1702">
          <cell r="A1702">
            <v>2560406</v>
          </cell>
          <cell r="B1702" t="str">
            <v>Adapter HDMI DeLock=&gt;DVI-D (Stecker/Buchse)</v>
          </cell>
          <cell r="C1702">
            <v>0</v>
          </cell>
          <cell r="D1702">
            <v>2.99</v>
          </cell>
        </row>
        <row r="1703">
          <cell r="A1703">
            <v>2560412</v>
          </cell>
          <cell r="B1703" t="str">
            <v>ATI Sapphire PCIe 1024MB HD5450 2xDVI LiRe Silent</v>
          </cell>
          <cell r="C1703">
            <v>0</v>
          </cell>
          <cell r="D1703">
            <v>30.85</v>
          </cell>
        </row>
        <row r="1704">
          <cell r="A1704">
            <v>2560416</v>
          </cell>
          <cell r="B1704" t="str">
            <v>AMD Sapphire PCIe 1024MB HD6750 H/DP/2xDVI VAPOR-X</v>
          </cell>
          <cell r="C1704">
            <v>0</v>
          </cell>
          <cell r="D1704">
            <v>75.099999999999994</v>
          </cell>
        </row>
        <row r="1705">
          <cell r="A1705">
            <v>2560421</v>
          </cell>
          <cell r="B1705" t="str">
            <v>ATI Sapphire PCIe 1024MB HD4350 HD LP Silent LiRe</v>
          </cell>
          <cell r="C1705">
            <v>0</v>
          </cell>
          <cell r="D1705">
            <v>23.31</v>
          </cell>
        </row>
        <row r="1706">
          <cell r="A1706">
            <v>2560435</v>
          </cell>
          <cell r="B1706" t="str">
            <v>Equip Adapter HDMI =&gt; DVI (Buchse/Stecker)</v>
          </cell>
          <cell r="C1706">
            <v>0</v>
          </cell>
          <cell r="D1706">
            <v>2</v>
          </cell>
        </row>
        <row r="1707">
          <cell r="A1707">
            <v>2560442</v>
          </cell>
          <cell r="B1707" t="str">
            <v>Adapter HDMI =&gt; DVI (Stecker/Buchse)</v>
          </cell>
          <cell r="C1707">
            <v>0</v>
          </cell>
          <cell r="D1707">
            <v>1.8</v>
          </cell>
        </row>
        <row r="1708">
          <cell r="A1708">
            <v>2560452</v>
          </cell>
          <cell r="B1708" t="str">
            <v>Grafikkarte ATI Sapphire PCIe 1024MB, 2xDVI HD5450</v>
          </cell>
          <cell r="C1708">
            <v>5</v>
          </cell>
          <cell r="D1708">
            <v>30.35</v>
          </cell>
        </row>
        <row r="1709">
          <cell r="A1709">
            <v>2560500</v>
          </cell>
          <cell r="B1709" t="str">
            <v>ATI PCIe  256MB HD2400Pro TD Passiv</v>
          </cell>
          <cell r="C1709">
            <v>0</v>
          </cell>
          <cell r="D1709">
            <v>25.5</v>
          </cell>
        </row>
        <row r="1710">
          <cell r="A1710">
            <v>2560700</v>
          </cell>
          <cell r="B1710" t="str">
            <v>ATI PowerColor PCI-E 128MB RX300SE HM TD bulk</v>
          </cell>
          <cell r="C1710">
            <v>0</v>
          </cell>
          <cell r="D1710">
            <v>32.9</v>
          </cell>
        </row>
        <row r="1711">
          <cell r="A1711">
            <v>2560701</v>
          </cell>
          <cell r="B1711" t="str">
            <v>ATI Sapphire AGP8x 128DDR R9250 DVI/TV-out</v>
          </cell>
          <cell r="C1711">
            <v>0</v>
          </cell>
          <cell r="D1711">
            <v>28.9</v>
          </cell>
        </row>
        <row r="1712">
          <cell r="A1712">
            <v>2560702</v>
          </cell>
          <cell r="B1712" t="str">
            <v>ATI PowerColor PCI 128MB R9250 TD bulk</v>
          </cell>
          <cell r="C1712">
            <v>0</v>
          </cell>
          <cell r="D1712">
            <v>34</v>
          </cell>
        </row>
        <row r="1713">
          <cell r="A1713">
            <v>2560703</v>
          </cell>
          <cell r="B1713" t="str">
            <v>ATI PowerColor PCI-E 256MB RX1300Pro TD Retail</v>
          </cell>
          <cell r="C1713">
            <v>0</v>
          </cell>
          <cell r="D1713">
            <v>45</v>
          </cell>
        </row>
        <row r="1714">
          <cell r="A1714">
            <v>2560704</v>
          </cell>
          <cell r="B1714" t="str">
            <v>ATI PowerColor PCI-E 128MB RX550 HM TD Retail</v>
          </cell>
          <cell r="C1714">
            <v>0</v>
          </cell>
          <cell r="D1714">
            <v>35</v>
          </cell>
        </row>
        <row r="1715">
          <cell r="A1715">
            <v>2560705</v>
          </cell>
          <cell r="B1715" t="str">
            <v>ATI PowerColor PCI-E 256MB RX550 HM TD Retail</v>
          </cell>
          <cell r="C1715">
            <v>0</v>
          </cell>
          <cell r="D1715">
            <v>39.5</v>
          </cell>
        </row>
        <row r="1716">
          <cell r="A1716">
            <v>2560706</v>
          </cell>
          <cell r="B1716" t="str">
            <v>ATI PowerColor PCI-E 256MB RX1600Pro TD Retail</v>
          </cell>
          <cell r="C1716">
            <v>0</v>
          </cell>
          <cell r="D1716">
            <v>59.9</v>
          </cell>
        </row>
        <row r="1717">
          <cell r="A1717">
            <v>2560711</v>
          </cell>
          <cell r="B1717" t="str">
            <v>ATI PowerColor AGP8x 256MB R9550 TD Retail</v>
          </cell>
          <cell r="C1717">
            <v>0</v>
          </cell>
          <cell r="D1717">
            <v>31.5</v>
          </cell>
        </row>
        <row r="1718">
          <cell r="A1718">
            <v>2560718</v>
          </cell>
          <cell r="B1718" t="str">
            <v>ATI PowerColor AGP8x 128MB R9550 TD Retail</v>
          </cell>
          <cell r="C1718">
            <v>0</v>
          </cell>
          <cell r="D1718">
            <v>21</v>
          </cell>
        </row>
        <row r="1719">
          <cell r="A1719">
            <v>2560719</v>
          </cell>
          <cell r="B1719" t="str">
            <v>ATI PowerColor PCI-E 256MB RX1550 T2xD Retail</v>
          </cell>
          <cell r="C1719">
            <v>0</v>
          </cell>
          <cell r="D1719">
            <v>40</v>
          </cell>
        </row>
        <row r="1720">
          <cell r="A1720">
            <v>2560720</v>
          </cell>
          <cell r="B1720" t="str">
            <v>ATI PowerColor PCIe 512MB RX1550 SCS T2xD Retail</v>
          </cell>
          <cell r="C1720">
            <v>0</v>
          </cell>
          <cell r="D1720">
            <v>37.9</v>
          </cell>
        </row>
        <row r="1721">
          <cell r="A1721">
            <v>2560728</v>
          </cell>
          <cell r="B1721" t="str">
            <v>ATI PowerColor PCI-E 128MB RX1050 TD bulk</v>
          </cell>
          <cell r="C1721">
            <v>0</v>
          </cell>
          <cell r="D1721">
            <v>28.9</v>
          </cell>
        </row>
        <row r="1722">
          <cell r="A1722">
            <v>2560729</v>
          </cell>
          <cell r="B1722" t="str">
            <v>ATI PowerColor PCI-E 256MB RX1550 TD Low-Profile</v>
          </cell>
          <cell r="C1722">
            <v>0</v>
          </cell>
          <cell r="D1722">
            <v>41</v>
          </cell>
        </row>
        <row r="1723">
          <cell r="A1723">
            <v>2560731</v>
          </cell>
          <cell r="B1723" t="str">
            <v>ATI PowerColor PCI-E 256MB RX1650 TD LoPro Retail</v>
          </cell>
          <cell r="C1723">
            <v>0</v>
          </cell>
          <cell r="D1723">
            <v>42</v>
          </cell>
        </row>
        <row r="1724">
          <cell r="A1724">
            <v>2560733</v>
          </cell>
          <cell r="B1724" t="str">
            <v>ATI PowerColor PCI-E   256MB HD2400Pro TD Passiv</v>
          </cell>
          <cell r="C1724">
            <v>0</v>
          </cell>
          <cell r="D1724">
            <v>40</v>
          </cell>
        </row>
        <row r="1725">
          <cell r="A1725">
            <v>2560734</v>
          </cell>
          <cell r="B1725" t="str">
            <v>ATI PowerColor AGP8x 256MB HD2400Pro TD</v>
          </cell>
          <cell r="C1725">
            <v>0</v>
          </cell>
          <cell r="D1725">
            <v>33.5</v>
          </cell>
        </row>
        <row r="1726">
          <cell r="A1726">
            <v>2560742</v>
          </cell>
          <cell r="B1726" t="str">
            <v>ATI PowerColor PCIe  512MB HD3450 TD Passiv</v>
          </cell>
          <cell r="C1726">
            <v>0</v>
          </cell>
          <cell r="D1726">
            <v>28</v>
          </cell>
        </row>
        <row r="1727">
          <cell r="A1727">
            <v>2560748</v>
          </cell>
          <cell r="B1727" t="str">
            <v>ATI PowerColor PCIe 256MB RX1550 TD LowPro Retail</v>
          </cell>
          <cell r="C1727">
            <v>0</v>
          </cell>
          <cell r="D1727">
            <v>20.5</v>
          </cell>
        </row>
        <row r="1728">
          <cell r="A1728">
            <v>2560752</v>
          </cell>
          <cell r="B1728" t="str">
            <v>ATI PowerColor PCIe 512MB RX1650Pro SCS T2xD***</v>
          </cell>
          <cell r="C1728">
            <v>0</v>
          </cell>
          <cell r="D1728">
            <v>28.9</v>
          </cell>
        </row>
        <row r="1729">
          <cell r="A1729">
            <v>2560753</v>
          </cell>
          <cell r="B1729" t="str">
            <v>ATI PowerColor PCIe  512MB HD2600Pro T2xD Passiv</v>
          </cell>
          <cell r="C1729">
            <v>0</v>
          </cell>
          <cell r="D1729">
            <v>52</v>
          </cell>
        </row>
        <row r="1730">
          <cell r="A1730">
            <v>2560765</v>
          </cell>
          <cell r="B1730" t="str">
            <v>ATI PowerColor PCIe  512MB HD3650 SCS T2xD DDR2</v>
          </cell>
          <cell r="C1730">
            <v>0</v>
          </cell>
          <cell r="D1730">
            <v>35</v>
          </cell>
        </row>
        <row r="1731">
          <cell r="A1731">
            <v>2560766</v>
          </cell>
          <cell r="B1731" t="str">
            <v>YY ATI PowerColor PCIe 1024MB HD3650 SCS T2xD Whit</v>
          </cell>
          <cell r="C1731">
            <v>0</v>
          </cell>
          <cell r="D1731">
            <v>31.93</v>
          </cell>
        </row>
        <row r="1732">
          <cell r="A1732">
            <v>2560767</v>
          </cell>
          <cell r="B1732" t="str">
            <v>ATI PowerColor PCIe  256MB HD3450 TD Passiv</v>
          </cell>
          <cell r="C1732">
            <v>0</v>
          </cell>
          <cell r="D1732">
            <v>22</v>
          </cell>
        </row>
        <row r="1733">
          <cell r="A1733">
            <v>2560768</v>
          </cell>
          <cell r="B1733" t="str">
            <v>ATI PowerColor PCI 256MB HD2400Pro TD Passiv</v>
          </cell>
          <cell r="C1733">
            <v>0</v>
          </cell>
          <cell r="D1733">
            <v>36.9</v>
          </cell>
        </row>
        <row r="1734">
          <cell r="A1734">
            <v>2560785</v>
          </cell>
          <cell r="B1734" t="str">
            <v>ATI PowerColor PCIe  256MB HD4350 TD LowPro Passiv</v>
          </cell>
          <cell r="C1734">
            <v>0</v>
          </cell>
          <cell r="D1734">
            <v>19.899999999999999</v>
          </cell>
        </row>
        <row r="1735">
          <cell r="A1735">
            <v>2560786</v>
          </cell>
          <cell r="B1735" t="str">
            <v>ATI PowerColor PCIe  512MB HD4350 TD LowPro Passiv</v>
          </cell>
          <cell r="C1735">
            <v>0</v>
          </cell>
          <cell r="D1735">
            <v>34.9</v>
          </cell>
        </row>
        <row r="1736">
          <cell r="A1736">
            <v>2560793</v>
          </cell>
          <cell r="B1736" t="str">
            <v>ATI PowerColor PCIe  512MB HD4670 PCS T2xD Ret</v>
          </cell>
          <cell r="C1736">
            <v>0</v>
          </cell>
          <cell r="D1736">
            <v>45</v>
          </cell>
        </row>
        <row r="1737">
          <cell r="A1737">
            <v>2560800</v>
          </cell>
          <cell r="B1737" t="str">
            <v>ATI PowerColor PCIe  512MB HD4350 HD Passiv</v>
          </cell>
          <cell r="C1737">
            <v>0</v>
          </cell>
          <cell r="D1737">
            <v>23.5</v>
          </cell>
        </row>
        <row r="1738">
          <cell r="A1738">
            <v>2560801</v>
          </cell>
          <cell r="B1738" t="str">
            <v>ATI PowerColor PCIe  256MB HD4350 HD LP Passiv</v>
          </cell>
          <cell r="C1738">
            <v>0</v>
          </cell>
          <cell r="D1738">
            <v>25</v>
          </cell>
        </row>
        <row r="1739">
          <cell r="A1739">
            <v>2560802</v>
          </cell>
          <cell r="B1739" t="str">
            <v>ATI PowerColor PCIe 1024MB HD4350 HD Passiv</v>
          </cell>
          <cell r="C1739">
            <v>0</v>
          </cell>
          <cell r="D1739">
            <v>31.9</v>
          </cell>
        </row>
        <row r="1740">
          <cell r="A1740">
            <v>2560804</v>
          </cell>
          <cell r="B1740" t="str">
            <v>ATI PowerColor PCIe  512MB HD4350 HD Passiv (bulk)</v>
          </cell>
          <cell r="C1740">
            <v>0</v>
          </cell>
          <cell r="D1740">
            <v>29</v>
          </cell>
        </row>
        <row r="1741">
          <cell r="A1741">
            <v>2560832</v>
          </cell>
          <cell r="B1741" t="str">
            <v>ATI PowerColor PCI  512MB HD4350 HD LP Passiv</v>
          </cell>
          <cell r="C1741">
            <v>0</v>
          </cell>
          <cell r="D1741">
            <v>37.9</v>
          </cell>
        </row>
        <row r="1742">
          <cell r="A1742">
            <v>2560835</v>
          </cell>
          <cell r="B1742" t="str">
            <v>Grafikkarte PCIe 1024MB ATI HD5450 HD Silent</v>
          </cell>
          <cell r="C1742">
            <v>0</v>
          </cell>
          <cell r="D1742">
            <v>21.9</v>
          </cell>
        </row>
        <row r="1743">
          <cell r="A1743">
            <v>2560846</v>
          </cell>
          <cell r="B1743" t="str">
            <v>ATI PowerColor PCIe  512MB HD5450 HD Silent</v>
          </cell>
          <cell r="C1743">
            <v>0</v>
          </cell>
          <cell r="D1743">
            <v>34.9</v>
          </cell>
        </row>
        <row r="1744">
          <cell r="A1744">
            <v>2560855</v>
          </cell>
          <cell r="B1744" t="str">
            <v>ATI PowerColor PCIe  512MB HD5450 HD blk LP Silent</v>
          </cell>
          <cell r="C1744">
            <v>0</v>
          </cell>
          <cell r="D1744">
            <v>21.7</v>
          </cell>
        </row>
        <row r="1745">
          <cell r="A1745">
            <v>2560877</v>
          </cell>
          <cell r="B1745" t="str">
            <v>AMD PowerColor PCIe 1024MB HD6450 HD Silent</v>
          </cell>
          <cell r="C1745">
            <v>0</v>
          </cell>
          <cell r="D1745">
            <v>26.25</v>
          </cell>
        </row>
        <row r="1746">
          <cell r="A1746">
            <v>2560899</v>
          </cell>
          <cell r="B1746" t="str">
            <v>ATI PowerColor PCIe 1024MB HD5450 HD LP Silent</v>
          </cell>
          <cell r="C1746">
            <v>0</v>
          </cell>
          <cell r="D1746">
            <v>21.9</v>
          </cell>
        </row>
        <row r="1747">
          <cell r="A1747">
            <v>2560912</v>
          </cell>
          <cell r="B1747" t="str">
            <v>ATI FirePro V3700 PCIe  256MB DVI/DVI bulk</v>
          </cell>
          <cell r="C1747">
            <v>0</v>
          </cell>
          <cell r="D1747">
            <v>58</v>
          </cell>
        </row>
        <row r="1748">
          <cell r="A1748">
            <v>2560946</v>
          </cell>
          <cell r="B1748" t="str">
            <v>ATI PowerColor PCIe 1024MB HD5450 HD LP Silent</v>
          </cell>
          <cell r="C1748">
            <v>0</v>
          </cell>
          <cell r="D1748">
            <v>21.9</v>
          </cell>
        </row>
        <row r="1749">
          <cell r="A1749">
            <v>2570085</v>
          </cell>
          <cell r="B1749" t="str">
            <v>VGA Gainward AGP8x 256MB GF-FX5500 TD   Retail***</v>
          </cell>
          <cell r="C1749">
            <v>0</v>
          </cell>
          <cell r="D1749">
            <v>25</v>
          </cell>
        </row>
        <row r="1750">
          <cell r="A1750">
            <v>2570105</v>
          </cell>
          <cell r="B1750" t="str">
            <v>VGA Gainward PCI-E 256MB GF-7600GT  TD Retail</v>
          </cell>
          <cell r="C1750">
            <v>0</v>
          </cell>
          <cell r="D1750">
            <v>155</v>
          </cell>
        </row>
        <row r="1751">
          <cell r="A1751">
            <v>2570110</v>
          </cell>
          <cell r="B1751" t="str">
            <v>YY VGA Gainward PCI-E 256MB GF-7900GT  T2xD***</v>
          </cell>
          <cell r="C1751">
            <v>0</v>
          </cell>
          <cell r="D1751">
            <v>118.8</v>
          </cell>
        </row>
        <row r="1752">
          <cell r="A1752">
            <v>2570139</v>
          </cell>
          <cell r="B1752" t="str">
            <v>VGA Gainward PCIe  256MB GF-8400GS  TD SilentFX</v>
          </cell>
          <cell r="C1752">
            <v>0</v>
          </cell>
          <cell r="D1752">
            <v>32.5</v>
          </cell>
        </row>
        <row r="1753">
          <cell r="A1753">
            <v>2570145</v>
          </cell>
          <cell r="B1753" t="str">
            <v>VGA Gainward PCIe 1024MB GF-8600GT T2xD***</v>
          </cell>
          <cell r="C1753">
            <v>0</v>
          </cell>
          <cell r="D1753">
            <v>0</v>
          </cell>
        </row>
        <row r="1754">
          <cell r="A1754">
            <v>2570147</v>
          </cell>
          <cell r="B1754" t="str">
            <v>VGA Gainward PCIe  512MB GF-8400GS HD SilentFX</v>
          </cell>
          <cell r="C1754">
            <v>0</v>
          </cell>
          <cell r="D1754">
            <v>21</v>
          </cell>
        </row>
        <row r="1755">
          <cell r="A1755">
            <v>2570148</v>
          </cell>
          <cell r="B1755" t="str">
            <v>VGA Gainward PCIe  512MB GF-8400GS HD SilentFX</v>
          </cell>
          <cell r="C1755">
            <v>0</v>
          </cell>
          <cell r="D1755">
            <v>23.5</v>
          </cell>
        </row>
        <row r="1756">
          <cell r="A1756">
            <v>2570150</v>
          </cell>
          <cell r="B1756" t="str">
            <v>VGA Gainward PCIe  512MB GF-8400GS HD Silent Ret.</v>
          </cell>
          <cell r="C1756">
            <v>0</v>
          </cell>
          <cell r="D1756">
            <v>25.18</v>
          </cell>
        </row>
        <row r="1757">
          <cell r="A1757">
            <v>2570151</v>
          </cell>
          <cell r="B1757" t="str">
            <v>Grafikkarte PCIe 512 MB GF-8400GS HD</v>
          </cell>
          <cell r="C1757">
            <v>0</v>
          </cell>
          <cell r="D1757">
            <v>19.899999999999999</v>
          </cell>
        </row>
        <row r="1758">
          <cell r="A1758">
            <v>2570199</v>
          </cell>
          <cell r="B1758" t="str">
            <v>ATI Gigabyte PCIe  128MB RX1050 TD Retail***</v>
          </cell>
          <cell r="C1758">
            <v>0</v>
          </cell>
          <cell r="D1758">
            <v>23.8</v>
          </cell>
        </row>
        <row r="1759">
          <cell r="A1759">
            <v>2570240</v>
          </cell>
          <cell r="B1759" t="str">
            <v>VGA Gainward PCIe 1024MB GF-9500GT TD Retail</v>
          </cell>
          <cell r="C1759">
            <v>0</v>
          </cell>
          <cell r="D1759">
            <v>50</v>
          </cell>
        </row>
        <row r="1760">
          <cell r="A1760">
            <v>2570277</v>
          </cell>
          <cell r="B1760" t="str">
            <v>VGA Gainward PCIe  896MB GF-GTX260 GS HD Retail</v>
          </cell>
          <cell r="C1760">
            <v>0</v>
          </cell>
          <cell r="D1760">
            <v>115</v>
          </cell>
        </row>
        <row r="1761">
          <cell r="A1761">
            <v>2570278</v>
          </cell>
          <cell r="B1761" t="str">
            <v>YY VGA Gainward PCIe  896MB GF-GTX275 GS HD Retail</v>
          </cell>
          <cell r="C1761">
            <v>0</v>
          </cell>
          <cell r="D1761">
            <v>79.7</v>
          </cell>
        </row>
        <row r="1762">
          <cell r="A1762">
            <v>2570280</v>
          </cell>
          <cell r="B1762" t="str">
            <v>VGA Gainward PCIe  512MB GF-GT220 (GDDR3) HD Ret.</v>
          </cell>
          <cell r="C1762">
            <v>0</v>
          </cell>
          <cell r="D1762">
            <v>46</v>
          </cell>
        </row>
        <row r="1763">
          <cell r="A1763">
            <v>2570303</v>
          </cell>
          <cell r="B1763" t="str">
            <v>VGA Gainward PCIe 1024MB GF-GT430 HD Retail</v>
          </cell>
          <cell r="C1763">
            <v>0</v>
          </cell>
          <cell r="D1763">
            <v>36.450000000000003</v>
          </cell>
        </row>
        <row r="1764">
          <cell r="A1764">
            <v>2570314</v>
          </cell>
          <cell r="B1764" t="str">
            <v>VGA Gainward PCIe 1024MB GF-GT220 HD Green Ret.***</v>
          </cell>
          <cell r="C1764">
            <v>0</v>
          </cell>
          <cell r="D1764">
            <v>39.450000000000003</v>
          </cell>
        </row>
        <row r="1765">
          <cell r="A1765">
            <v>2570323</v>
          </cell>
          <cell r="B1765" t="str">
            <v>VGA Gainward PCIe 1024MB GF-GT220 HD Silent Green</v>
          </cell>
          <cell r="C1765">
            <v>0</v>
          </cell>
          <cell r="D1765">
            <v>36</v>
          </cell>
        </row>
        <row r="1766">
          <cell r="A1766">
            <v>2570357</v>
          </cell>
          <cell r="B1766" t="str">
            <v>Gainward PCIe  512MB GF-210 HD LP Silent Retail</v>
          </cell>
          <cell r="C1766">
            <v>272</v>
          </cell>
          <cell r="D1766">
            <v>20</v>
          </cell>
        </row>
        <row r="1767">
          <cell r="A1767">
            <v>2570600</v>
          </cell>
          <cell r="B1767" t="str">
            <v>GIGA VGA PCIe  256MB GF-7200GS TD GV-NX72G512E2</v>
          </cell>
          <cell r="C1767">
            <v>0</v>
          </cell>
          <cell r="D1767">
            <v>20.5</v>
          </cell>
        </row>
        <row r="1768">
          <cell r="A1768">
            <v>2590038</v>
          </cell>
          <cell r="B1768" t="str">
            <v>Kabel PNY Splitter LFH -&gt; 2xDVI-I</v>
          </cell>
          <cell r="C1768">
            <v>0</v>
          </cell>
          <cell r="D1768">
            <v>13</v>
          </cell>
        </row>
        <row r="1769">
          <cell r="A1769">
            <v>2590053</v>
          </cell>
          <cell r="B1769" t="str">
            <v>PNY AGP8x 128MB Quadro FX 500    VGA/DVI  bulk***</v>
          </cell>
          <cell r="C1769">
            <v>0</v>
          </cell>
          <cell r="D1769">
            <v>178</v>
          </cell>
        </row>
        <row r="1770">
          <cell r="A1770">
            <v>2590060</v>
          </cell>
          <cell r="B1770" t="str">
            <v>PNY PCI-E 256DDR3 Quadro FX3400 DVI/DVI bulk</v>
          </cell>
          <cell r="C1770">
            <v>0</v>
          </cell>
          <cell r="D1770">
            <v>495</v>
          </cell>
        </row>
        <row r="1771">
          <cell r="A1771">
            <v>2590061</v>
          </cell>
          <cell r="B1771" t="str">
            <v>PNY PCI  64MB Quadro4 280NVS LFH (DVI/DVI) Retail</v>
          </cell>
          <cell r="C1771">
            <v>0</v>
          </cell>
          <cell r="D1771">
            <v>67.5</v>
          </cell>
        </row>
        <row r="1772">
          <cell r="A1772">
            <v>2590063</v>
          </cell>
          <cell r="B1772" t="str">
            <v>PNY PCI-E 128MB Quadro  FX540  VGA/DVI bulk</v>
          </cell>
          <cell r="C1772">
            <v>0</v>
          </cell>
          <cell r="D1772">
            <v>155</v>
          </cell>
        </row>
        <row r="1773">
          <cell r="A1773">
            <v>2590064</v>
          </cell>
          <cell r="B1773" t="str">
            <v>PNY PCI-E 128DDR Quadro FX1400 DVI/DVI bulk</v>
          </cell>
          <cell r="C1773">
            <v>0</v>
          </cell>
          <cell r="D1773">
            <v>292.33999999999997</v>
          </cell>
        </row>
        <row r="1774">
          <cell r="A1774">
            <v>2590077</v>
          </cell>
          <cell r="B1774" t="str">
            <v>PNY PCI-E  256MB Quadro FX1500 DVI/DVI bulk</v>
          </cell>
          <cell r="C1774">
            <v>0</v>
          </cell>
          <cell r="D1774">
            <v>319</v>
          </cell>
        </row>
        <row r="1775">
          <cell r="A1775">
            <v>2590078</v>
          </cell>
          <cell r="B1775" t="str">
            <v>PNY PCIe  128MB Quadro  FX550  DVI/DVI bulk</v>
          </cell>
          <cell r="C1775">
            <v>0</v>
          </cell>
          <cell r="D1775">
            <v>129</v>
          </cell>
        </row>
        <row r="1776">
          <cell r="A1776">
            <v>2590138</v>
          </cell>
          <cell r="B1776" t="str">
            <v>PNY Verto PCIe  256MB GF-8400GS TD Retail</v>
          </cell>
          <cell r="C1776">
            <v>0</v>
          </cell>
          <cell r="D1776">
            <v>19.850000000000001</v>
          </cell>
        </row>
        <row r="1777">
          <cell r="A1777">
            <v>2590143</v>
          </cell>
          <cell r="B1777" t="str">
            <v>PNY PCIe  512MB Quadro FX1700PVE T2xD  Messeaktion</v>
          </cell>
          <cell r="C1777">
            <v>0</v>
          </cell>
          <cell r="D1777">
            <v>295</v>
          </cell>
        </row>
        <row r="1778">
          <cell r="A1778">
            <v>2590145</v>
          </cell>
          <cell r="B1778" t="str">
            <v>PNY PCIe  512MB Quadro FX1700 T2xD bulk</v>
          </cell>
          <cell r="C1778">
            <v>0</v>
          </cell>
          <cell r="D1778">
            <v>335</v>
          </cell>
        </row>
        <row r="1779">
          <cell r="A1779">
            <v>2590149</v>
          </cell>
          <cell r="B1779" t="str">
            <v>Grafikkarte PCIe 256MB NVS290</v>
          </cell>
          <cell r="C1779">
            <v>2</v>
          </cell>
          <cell r="D1779">
            <v>102.12</v>
          </cell>
        </row>
        <row r="1780">
          <cell r="A1780">
            <v>2590230</v>
          </cell>
          <cell r="B1780" t="str">
            <v>Grafikkarte PCIe 256MB Quadro FX380</v>
          </cell>
          <cell r="C1780">
            <v>134</v>
          </cell>
          <cell r="D1780">
            <v>222.67</v>
          </cell>
        </row>
        <row r="1781">
          <cell r="A1781">
            <v>2590232</v>
          </cell>
          <cell r="B1781" t="str">
            <v>PNY PCIe  768MB Quadro FX1800  DVI/2xDP bulk</v>
          </cell>
          <cell r="C1781">
            <v>0</v>
          </cell>
          <cell r="D1781">
            <v>335</v>
          </cell>
        </row>
        <row r="1782">
          <cell r="A1782">
            <v>2590261</v>
          </cell>
          <cell r="B1782" t="str">
            <v>PNY Zubehör Kabelpeitsche DP =&gt; DVI-D (Dual-Link)</v>
          </cell>
          <cell r="C1782">
            <v>0</v>
          </cell>
          <cell r="D1782">
            <v>0</v>
          </cell>
        </row>
        <row r="1783">
          <cell r="A1783">
            <v>2590301</v>
          </cell>
          <cell r="B1783" t="str">
            <v>Grafikkarte PCIe 1024MB Quadro 600</v>
          </cell>
          <cell r="C1783">
            <v>0</v>
          </cell>
          <cell r="D1783">
            <v>131</v>
          </cell>
        </row>
        <row r="1784">
          <cell r="A1784">
            <v>2590312</v>
          </cell>
          <cell r="B1784" t="str">
            <v>PNY PCIe  512MB Quadro 300NVS LFH (2xDVI) LP</v>
          </cell>
          <cell r="C1784">
            <v>8</v>
          </cell>
          <cell r="D1784">
            <v>87.8</v>
          </cell>
        </row>
        <row r="1785">
          <cell r="A1785">
            <v>2590315</v>
          </cell>
          <cell r="B1785" t="str">
            <v>Grafikkarte PCIe 1024MB Quadro 2000D  2xDVI Bulk</v>
          </cell>
          <cell r="C1785">
            <v>0</v>
          </cell>
          <cell r="D1785">
            <v>366.9</v>
          </cell>
        </row>
        <row r="1786">
          <cell r="A1786">
            <v>2590326</v>
          </cell>
          <cell r="B1786" t="str">
            <v>Grafikkarte PCle 512MB NVS300</v>
          </cell>
          <cell r="C1786">
            <v>1</v>
          </cell>
          <cell r="D1786">
            <v>82.44</v>
          </cell>
        </row>
        <row r="1787">
          <cell r="A1787">
            <v>2590357</v>
          </cell>
          <cell r="B1787" t="str">
            <v>Grafikkarte PCle 512MB Quadro 410 DVI/LP</v>
          </cell>
          <cell r="C1787">
            <v>0</v>
          </cell>
          <cell r="D1787">
            <v>104.9</v>
          </cell>
        </row>
        <row r="1788">
          <cell r="A1788">
            <v>2602050</v>
          </cell>
          <cell r="B1788" t="str">
            <v>Streamer Sony AIT1 Turbo SDX-450VRP SCSI 40-100 GB</v>
          </cell>
          <cell r="C1788">
            <v>0</v>
          </cell>
          <cell r="D1788">
            <v>359</v>
          </cell>
        </row>
        <row r="1789">
          <cell r="A1789">
            <v>2602051</v>
          </cell>
          <cell r="B1789" t="str">
            <v>Streamer Sony AIT1 Turbo SDX-450VRP-BK SCSI black</v>
          </cell>
          <cell r="C1789">
            <v>0</v>
          </cell>
          <cell r="D1789">
            <v>369</v>
          </cell>
        </row>
        <row r="1790">
          <cell r="A1790">
            <v>2610056</v>
          </cell>
          <cell r="B1790" t="str">
            <v>Streamer HP DAT72 72GB 5,25"/Softw.</v>
          </cell>
          <cell r="C1790">
            <v>0</v>
          </cell>
          <cell r="D1790">
            <v>319</v>
          </cell>
        </row>
        <row r="1791">
          <cell r="A1791">
            <v>2610211</v>
          </cell>
          <cell r="B1791" t="str">
            <v>Streamer HP LTO2 Ultrium 448 intern black OEM</v>
          </cell>
          <cell r="C1791">
            <v>0</v>
          </cell>
          <cell r="D1791">
            <v>629</v>
          </cell>
        </row>
        <row r="1792">
          <cell r="A1792">
            <v>2640364</v>
          </cell>
          <cell r="B1792" t="str">
            <v>Imation RDX Bare Drive SATA intern black</v>
          </cell>
          <cell r="C1792">
            <v>0</v>
          </cell>
          <cell r="D1792">
            <v>89.5</v>
          </cell>
        </row>
        <row r="1793">
          <cell r="A1793">
            <v>2680106</v>
          </cell>
          <cell r="B1793" t="str">
            <v>IO seriell 1-fach für MPM-1000</v>
          </cell>
          <cell r="C1793">
            <v>0</v>
          </cell>
          <cell r="D1793">
            <v>9</v>
          </cell>
        </row>
        <row r="1794">
          <cell r="A1794">
            <v>2680107</v>
          </cell>
          <cell r="B1794" t="str">
            <v>Kabel LPT 40cm intern</v>
          </cell>
          <cell r="C1794">
            <v>48</v>
          </cell>
          <cell r="D1794">
            <v>5</v>
          </cell>
        </row>
        <row r="1795">
          <cell r="A1795">
            <v>2680108</v>
          </cell>
          <cell r="B1795" t="str">
            <v>Siemens/Asus/Intel MBZU par.Kabel Low-Profile</v>
          </cell>
          <cell r="C1795">
            <v>0</v>
          </cell>
          <cell r="D1795">
            <v>4</v>
          </cell>
        </row>
        <row r="1796">
          <cell r="A1796">
            <v>2680109</v>
          </cell>
          <cell r="B1796" t="str">
            <v>Kabel LPT 50cm intern</v>
          </cell>
          <cell r="C1796">
            <v>114</v>
          </cell>
          <cell r="D1796">
            <v>4</v>
          </cell>
        </row>
        <row r="1797">
          <cell r="A1797">
            <v>2680112</v>
          </cell>
          <cell r="B1797" t="str">
            <v>ASUS 3.5" Frontpanel mit 2x USB3.0 Ports</v>
          </cell>
          <cell r="C1797">
            <v>0</v>
          </cell>
          <cell r="D1797">
            <v>9</v>
          </cell>
        </row>
        <row r="1798">
          <cell r="A1798">
            <v>2686106</v>
          </cell>
          <cell r="B1798" t="str">
            <v>Kabel RS232 40cm intern</v>
          </cell>
          <cell r="C1798">
            <v>0</v>
          </cell>
          <cell r="D1798">
            <v>4.5</v>
          </cell>
        </row>
        <row r="1799">
          <cell r="A1799">
            <v>2690662</v>
          </cell>
          <cell r="B1799" t="str">
            <v>NB DIMM DDR 512MB / PC533</v>
          </cell>
          <cell r="C1799">
            <v>0</v>
          </cell>
          <cell r="D1799">
            <v>19</v>
          </cell>
        </row>
        <row r="1800">
          <cell r="A1800">
            <v>2690663</v>
          </cell>
          <cell r="B1800" t="str">
            <v>NB DIMM DDR2  512MB / PC667 / takeMS</v>
          </cell>
          <cell r="C1800">
            <v>0</v>
          </cell>
          <cell r="D1800">
            <v>8.5</v>
          </cell>
        </row>
        <row r="1801">
          <cell r="A1801">
            <v>2696058</v>
          </cell>
          <cell r="B1801" t="str">
            <v>NB DIMM DDR2  1GB / PC533 / takeMS</v>
          </cell>
          <cell r="C1801">
            <v>0</v>
          </cell>
          <cell r="D1801">
            <v>34</v>
          </cell>
        </row>
        <row r="1802">
          <cell r="A1802">
            <v>2696059</v>
          </cell>
          <cell r="B1802" t="str">
            <v>NB DIMM DDR2  1GB / PC667 / takeMS</v>
          </cell>
          <cell r="C1802">
            <v>0</v>
          </cell>
          <cell r="D1802">
            <v>20.399999999999999</v>
          </cell>
        </row>
        <row r="1803">
          <cell r="A1803">
            <v>2696074</v>
          </cell>
          <cell r="B1803" t="str">
            <v>RAM SO-DIMM DDR2  1GB / PC667 / Hynix</v>
          </cell>
          <cell r="C1803">
            <v>0</v>
          </cell>
          <cell r="D1803">
            <v>22</v>
          </cell>
        </row>
        <row r="1804">
          <cell r="A1804">
            <v>2696095</v>
          </cell>
          <cell r="B1804" t="str">
            <v>Arbeitsspeicher 2GB DDR3 SO-DIMM/PC1333 Samsung</v>
          </cell>
          <cell r="C1804">
            <v>0</v>
          </cell>
          <cell r="D1804">
            <v>9.9</v>
          </cell>
        </row>
        <row r="1805">
          <cell r="A1805">
            <v>2696097</v>
          </cell>
          <cell r="B1805" t="str">
            <v>RAM SO-DIMM DDR3  4GB / PC1333 /UB/ Hynix</v>
          </cell>
          <cell r="C1805">
            <v>0</v>
          </cell>
          <cell r="D1805">
            <v>29</v>
          </cell>
        </row>
        <row r="1806">
          <cell r="A1806">
            <v>2696100</v>
          </cell>
          <cell r="B1806" t="str">
            <v>RAM SO-DIMM DDR3  2GB / PC1333 /UB/ Hynix</v>
          </cell>
          <cell r="C1806">
            <v>0</v>
          </cell>
          <cell r="D1806">
            <v>9.9</v>
          </cell>
        </row>
        <row r="1807">
          <cell r="A1807">
            <v>2696103</v>
          </cell>
          <cell r="B1807" t="str">
            <v>RAM SO-DIMM 4GB DDR3 PC1600</v>
          </cell>
          <cell r="C1807">
            <v>95</v>
          </cell>
          <cell r="D1807">
            <v>28</v>
          </cell>
        </row>
        <row r="1808">
          <cell r="A1808">
            <v>2696106</v>
          </cell>
          <cell r="B1808" t="str">
            <v>RAM SO-DIMM 8GB DDR3 PC1600</v>
          </cell>
          <cell r="C1808">
            <v>6</v>
          </cell>
          <cell r="D1808">
            <v>59</v>
          </cell>
        </row>
        <row r="1809">
          <cell r="A1809">
            <v>2696110</v>
          </cell>
          <cell r="B1809" t="str">
            <v>Arbeitsspeicher DDR3 4GB/Hynix/Dual-Rank</v>
          </cell>
          <cell r="C1809">
            <v>0</v>
          </cell>
          <cell r="D1809">
            <v>18.899999999999999</v>
          </cell>
        </row>
        <row r="1810">
          <cell r="A1810">
            <v>2696112</v>
          </cell>
          <cell r="B1810" t="str">
            <v>RAM 2GB DDR3 PC1600</v>
          </cell>
          <cell r="C1810">
            <v>5</v>
          </cell>
          <cell r="D1810">
            <v>15.9</v>
          </cell>
        </row>
        <row r="1811">
          <cell r="A1811">
            <v>2696113</v>
          </cell>
          <cell r="B1811" t="str">
            <v>RAM SO-DIMM 2GB DDR3 PC1600</v>
          </cell>
          <cell r="C1811">
            <v>0</v>
          </cell>
          <cell r="D1811">
            <v>13</v>
          </cell>
        </row>
        <row r="1812">
          <cell r="A1812">
            <v>2696115</v>
          </cell>
          <cell r="B1812" t="str">
            <v>RAM SO-DIMM 4GB DDR3 PC1600</v>
          </cell>
          <cell r="C1812">
            <v>0</v>
          </cell>
          <cell r="D1812">
            <v>25</v>
          </cell>
        </row>
        <row r="1813">
          <cell r="A1813">
            <v>2696121</v>
          </cell>
          <cell r="B1813" t="str">
            <v>RAM SO-DIMM DDR3L  8GB / PC1600 /UB/ Hynix</v>
          </cell>
          <cell r="C1813">
            <v>0</v>
          </cell>
          <cell r="D1813">
            <v>59</v>
          </cell>
        </row>
        <row r="1814">
          <cell r="A1814">
            <v>2698091</v>
          </cell>
          <cell r="B1814" t="str">
            <v>NB DIMM DDR 512MB / PC333 / Infineon</v>
          </cell>
          <cell r="C1814">
            <v>0</v>
          </cell>
          <cell r="D1814">
            <v>39.5</v>
          </cell>
        </row>
        <row r="1815">
          <cell r="A1815">
            <v>2698095</v>
          </cell>
          <cell r="B1815" t="str">
            <v>NB DIMM DDR2 256MB / PC533 / Samsung</v>
          </cell>
          <cell r="C1815">
            <v>0</v>
          </cell>
          <cell r="D1815">
            <v>14</v>
          </cell>
        </row>
        <row r="1816">
          <cell r="A1816">
            <v>2698096</v>
          </cell>
          <cell r="B1816" t="str">
            <v>NB DIMM DDR2  512MB / PC533 / Samsung</v>
          </cell>
          <cell r="C1816">
            <v>0</v>
          </cell>
          <cell r="D1816">
            <v>36</v>
          </cell>
        </row>
        <row r="1817">
          <cell r="A1817">
            <v>2698097</v>
          </cell>
          <cell r="B1817" t="str">
            <v>NB DIMM DDR 1GB / PC333 / Samsung</v>
          </cell>
          <cell r="C1817">
            <v>0</v>
          </cell>
          <cell r="D1817">
            <v>104.5</v>
          </cell>
        </row>
        <row r="1818">
          <cell r="A1818">
            <v>2698098</v>
          </cell>
          <cell r="B1818" t="str">
            <v>NB DIMM DDR2  1GB / PC533 / Samsung</v>
          </cell>
          <cell r="C1818">
            <v>0</v>
          </cell>
          <cell r="D1818">
            <v>109.5</v>
          </cell>
        </row>
        <row r="1819">
          <cell r="A1819">
            <v>2699090</v>
          </cell>
          <cell r="B1819" t="str">
            <v>NB DIMM DDR 256MB / PC333 /</v>
          </cell>
          <cell r="C1819">
            <v>0</v>
          </cell>
          <cell r="D1819">
            <v>20</v>
          </cell>
        </row>
        <row r="1820">
          <cell r="A1820">
            <v>2699091</v>
          </cell>
          <cell r="B1820" t="str">
            <v>NB DIMM DDR 512MB / PC333 / Super Elixir</v>
          </cell>
          <cell r="C1820">
            <v>0</v>
          </cell>
          <cell r="D1820">
            <v>40.5</v>
          </cell>
        </row>
        <row r="1821">
          <cell r="A1821">
            <v>2699092</v>
          </cell>
          <cell r="B1821" t="str">
            <v>NB DIMM DDR 512MB / PC333 / Samsung</v>
          </cell>
          <cell r="C1821">
            <v>0</v>
          </cell>
          <cell r="D1821">
            <v>54.5</v>
          </cell>
        </row>
        <row r="1822">
          <cell r="A1822">
            <v>2699093</v>
          </cell>
          <cell r="B1822" t="str">
            <v>NB DIMM DDR 256MB / PC333 / takeMS</v>
          </cell>
          <cell r="C1822">
            <v>0</v>
          </cell>
          <cell r="D1822">
            <v>20.5</v>
          </cell>
        </row>
        <row r="1823">
          <cell r="A1823">
            <v>2699094</v>
          </cell>
          <cell r="B1823" t="str">
            <v>NB DIMM DDR 512MB / PC333 / takeMS</v>
          </cell>
          <cell r="C1823">
            <v>0</v>
          </cell>
          <cell r="D1823">
            <v>13</v>
          </cell>
        </row>
        <row r="1824">
          <cell r="A1824">
            <v>2699095</v>
          </cell>
          <cell r="B1824" t="str">
            <v>NB DIMM DDR 1GB / PC333 / takeMS</v>
          </cell>
          <cell r="C1824">
            <v>0</v>
          </cell>
          <cell r="D1824">
            <v>69.5</v>
          </cell>
        </row>
        <row r="1825">
          <cell r="A1825">
            <v>2699096</v>
          </cell>
          <cell r="B1825" t="str">
            <v>NB DIMM DDR 512MB / PC333 / Samsung</v>
          </cell>
          <cell r="C1825">
            <v>0</v>
          </cell>
          <cell r="D1825">
            <v>49</v>
          </cell>
        </row>
        <row r="1826">
          <cell r="A1826">
            <v>2710014</v>
          </cell>
          <cell r="B1826" t="str">
            <v>SB PCI Creative Live! 5.1 Analog</v>
          </cell>
          <cell r="C1826">
            <v>0</v>
          </cell>
          <cell r="D1826">
            <v>15</v>
          </cell>
        </row>
        <row r="1827">
          <cell r="A1827">
            <v>2710023</v>
          </cell>
          <cell r="B1827" t="str">
            <v>SB PCI Creative Live! 5.1 Digital</v>
          </cell>
          <cell r="C1827">
            <v>0</v>
          </cell>
          <cell r="D1827">
            <v>15</v>
          </cell>
        </row>
        <row r="1828">
          <cell r="A1828">
            <v>2714111</v>
          </cell>
          <cell r="B1828" t="str">
            <v>Geh. Dämmkit MR-1100</v>
          </cell>
          <cell r="C1828">
            <v>0</v>
          </cell>
          <cell r="D1828">
            <v>69</v>
          </cell>
        </row>
        <row r="1829">
          <cell r="A1829">
            <v>2740009</v>
          </cell>
          <cell r="B1829" t="str">
            <v>SB PCI TerraTec 128i PCI bulk***</v>
          </cell>
          <cell r="C1829">
            <v>0</v>
          </cell>
          <cell r="D1829">
            <v>15</v>
          </cell>
        </row>
        <row r="1830">
          <cell r="A1830">
            <v>2750010</v>
          </cell>
          <cell r="B1830" t="str">
            <v>IO Einbaurahmen 3.5"/2xUSB2.0/MIC/LINEOUT</v>
          </cell>
          <cell r="C1830">
            <v>0</v>
          </cell>
          <cell r="D1830">
            <v>4.8</v>
          </cell>
        </row>
        <row r="1831">
          <cell r="A1831">
            <v>2750024</v>
          </cell>
          <cell r="B1831" t="str">
            <v>Lüfter Gehäuse  60x60x20/25mm</v>
          </cell>
          <cell r="C1831">
            <v>150</v>
          </cell>
          <cell r="D1831">
            <v>5.85</v>
          </cell>
        </row>
        <row r="1832">
          <cell r="A1832">
            <v>2750028</v>
          </cell>
          <cell r="B1832" t="str">
            <v>Kabel Lüfter Adapter 4-Pin AMP -&gt; 3-Pin Molex</v>
          </cell>
          <cell r="C1832">
            <v>381</v>
          </cell>
          <cell r="D1832">
            <v>1.29</v>
          </cell>
        </row>
        <row r="1833">
          <cell r="A1833">
            <v>2750034</v>
          </cell>
          <cell r="B1833" t="str">
            <v>Lüfter Kabeladapter 3-Pin -&gt; 3-Pin Molex 12/9 Volt</v>
          </cell>
          <cell r="C1833">
            <v>0</v>
          </cell>
          <cell r="D1833">
            <v>4</v>
          </cell>
        </row>
        <row r="1834">
          <cell r="A1834">
            <v>2750054</v>
          </cell>
          <cell r="B1834" t="str">
            <v>Lüfter CPU S775,  3.80GHz (AVC)</v>
          </cell>
          <cell r="C1834">
            <v>0</v>
          </cell>
          <cell r="D1834">
            <v>13</v>
          </cell>
        </row>
        <row r="1835">
          <cell r="A1835">
            <v>2750058</v>
          </cell>
          <cell r="B1835" t="str">
            <v>Lüfter CPU S478, 3.40GHz (Pre.) (AVC) ***</v>
          </cell>
          <cell r="C1835">
            <v>0</v>
          </cell>
          <cell r="D1835">
            <v>12</v>
          </cell>
        </row>
        <row r="1836">
          <cell r="A1836">
            <v>2750066</v>
          </cell>
          <cell r="B1836" t="str">
            <v>Lüfter CPU Quattro I für Sockel 478 (Verax)</v>
          </cell>
          <cell r="C1836">
            <v>0</v>
          </cell>
          <cell r="D1836">
            <v>49</v>
          </cell>
        </row>
        <row r="1837">
          <cell r="A1837">
            <v>2750068</v>
          </cell>
          <cell r="B1837" t="str">
            <v>Lüfter CPU Quattro 775 für Sockel 775 (Verax)</v>
          </cell>
          <cell r="C1837">
            <v>0</v>
          </cell>
          <cell r="D1837">
            <v>49</v>
          </cell>
        </row>
        <row r="1838">
          <cell r="A1838">
            <v>2750069</v>
          </cell>
          <cell r="B1838" t="str">
            <v>Kontron CPU-Lüfter S479 Low-Profile</v>
          </cell>
          <cell r="C1838">
            <v>0</v>
          </cell>
          <cell r="D1838">
            <v>8</v>
          </cell>
        </row>
        <row r="1839">
          <cell r="A1839">
            <v>2750070</v>
          </cell>
          <cell r="B1839" t="str">
            <v>Lüfter Gehäuse  80x80x25mm (Verax) DC</v>
          </cell>
          <cell r="C1839">
            <v>0</v>
          </cell>
          <cell r="D1839">
            <v>9.5</v>
          </cell>
        </row>
        <row r="1840">
          <cell r="A1840">
            <v>2750080</v>
          </cell>
          <cell r="B1840" t="str">
            <v>Lüfter CPU S775/754/939/AM2, Helado (Verax)</v>
          </cell>
          <cell r="C1840">
            <v>0</v>
          </cell>
          <cell r="D1840">
            <v>39</v>
          </cell>
        </row>
        <row r="1841">
          <cell r="A1841">
            <v>2750088</v>
          </cell>
          <cell r="B1841" t="str">
            <v>Lüfter Gehäuse  60x60x15mm (Papst)</v>
          </cell>
          <cell r="C1841">
            <v>0</v>
          </cell>
          <cell r="D1841">
            <v>15</v>
          </cell>
        </row>
        <row r="1842">
          <cell r="A1842">
            <v>2750092</v>
          </cell>
          <cell r="B1842" t="str">
            <v>Lüfter Gehäuse  80x80x25mm DS08025R12MP038</v>
          </cell>
          <cell r="C1842">
            <v>36</v>
          </cell>
          <cell r="D1842">
            <v>5.07</v>
          </cell>
        </row>
        <row r="1843">
          <cell r="A1843">
            <v>2750096</v>
          </cell>
          <cell r="B1843" t="str">
            <v>Lüfter Prozessor S775 &lt;= 95 Watt</v>
          </cell>
          <cell r="C1843">
            <v>200</v>
          </cell>
          <cell r="D1843">
            <v>7.9</v>
          </cell>
        </row>
        <row r="1844">
          <cell r="A1844">
            <v>2750114</v>
          </cell>
          <cell r="B1844" t="str">
            <v>Cardreader 23-in-1 Lichtgrau intern 3.5"</v>
          </cell>
          <cell r="C1844">
            <v>0</v>
          </cell>
          <cell r="D1844">
            <v>9</v>
          </cell>
        </row>
        <row r="1845">
          <cell r="A1845">
            <v>2750116</v>
          </cell>
          <cell r="B1845" t="str">
            <v>Lüfter Gehäuse 120x120x25mm 12V/NTC (Papst)</v>
          </cell>
          <cell r="C1845">
            <v>0</v>
          </cell>
          <cell r="D1845">
            <v>9.9</v>
          </cell>
        </row>
        <row r="1846">
          <cell r="A1846">
            <v>2750127</v>
          </cell>
          <cell r="B1846" t="str">
            <v>Lüfter CPU S775, &lt;= 130 Watt (AVC)</v>
          </cell>
          <cell r="C1846">
            <v>0</v>
          </cell>
          <cell r="D1846">
            <v>15</v>
          </cell>
        </row>
        <row r="1847">
          <cell r="A1847">
            <v>2750128</v>
          </cell>
          <cell r="B1847" t="str">
            <v>Cardreader Multi-Format  intern 3.5", Black</v>
          </cell>
          <cell r="C1847">
            <v>0</v>
          </cell>
          <cell r="D1847">
            <v>5.5</v>
          </cell>
        </row>
        <row r="1848">
          <cell r="A1848">
            <v>2750129</v>
          </cell>
          <cell r="B1848" t="str">
            <v>Cardreader Multi-Format Beige intern 3.5"</v>
          </cell>
          <cell r="C1848">
            <v>0</v>
          </cell>
          <cell r="D1848">
            <v>9</v>
          </cell>
        </row>
        <row r="1849">
          <cell r="A1849">
            <v>2750131</v>
          </cell>
          <cell r="B1849" t="str">
            <v>Lüfter Gehäuse 120x120x25mm 12025 PWM (Arctic)</v>
          </cell>
          <cell r="C1849">
            <v>0</v>
          </cell>
          <cell r="D1849">
            <v>4</v>
          </cell>
        </row>
        <row r="1850">
          <cell r="A1850">
            <v>2750133</v>
          </cell>
          <cell r="B1850" t="str">
            <v>Lüfter Prozessor S479 Low Profile</v>
          </cell>
          <cell r="C1850">
            <v>0</v>
          </cell>
          <cell r="D1850">
            <v>10.9</v>
          </cell>
        </row>
        <row r="1851">
          <cell r="A1851">
            <v>2750138</v>
          </cell>
          <cell r="B1851" t="str">
            <v>Gehäuselüfter 80x80x25mm (24x7)</v>
          </cell>
          <cell r="C1851">
            <v>132</v>
          </cell>
          <cell r="D1851">
            <v>5.82</v>
          </cell>
        </row>
        <row r="1852">
          <cell r="A1852">
            <v>2750144</v>
          </cell>
          <cell r="B1852" t="str">
            <v>Schraube 6mm Senkkopf für Gehäuselüfter</v>
          </cell>
          <cell r="C1852">
            <v>21225</v>
          </cell>
          <cell r="D1852">
            <v>0.09</v>
          </cell>
        </row>
        <row r="1853">
          <cell r="A1853">
            <v>2750145</v>
          </cell>
          <cell r="B1853" t="str">
            <v>Y Lüfter CPU  S775, EKL Storz HD Connect</v>
          </cell>
          <cell r="C1853">
            <v>0</v>
          </cell>
          <cell r="D1853">
            <v>19.600000000000001</v>
          </cell>
        </row>
        <row r="1854">
          <cell r="A1854">
            <v>2750150</v>
          </cell>
          <cell r="B1854" t="str">
            <v>Lüfter CPU S771, XEON passiv (EKL)</v>
          </cell>
          <cell r="C1854">
            <v>0</v>
          </cell>
          <cell r="D1854">
            <v>19</v>
          </cell>
        </row>
        <row r="1855">
          <cell r="A1855">
            <v>2750152</v>
          </cell>
          <cell r="B1855" t="str">
            <v>Lüfter CPU S1155/1156,  &lt;=  95 Watt Silent (AVC)</v>
          </cell>
          <cell r="C1855">
            <v>0</v>
          </cell>
          <cell r="D1855">
            <v>9</v>
          </cell>
        </row>
        <row r="1856">
          <cell r="A1856">
            <v>2750157</v>
          </cell>
          <cell r="B1856" t="str">
            <v>Cardreader Multi-Format  intern 3.5", Black</v>
          </cell>
          <cell r="C1856">
            <v>0</v>
          </cell>
          <cell r="D1856">
            <v>5.9</v>
          </cell>
        </row>
        <row r="1857">
          <cell r="A1857">
            <v>2750158</v>
          </cell>
          <cell r="B1857" t="str">
            <v>Lüfter Prozessor S775 Sideblow</v>
          </cell>
          <cell r="C1857">
            <v>0</v>
          </cell>
          <cell r="D1857">
            <v>18.47</v>
          </cell>
        </row>
        <row r="1858">
          <cell r="A1858">
            <v>2750160</v>
          </cell>
          <cell r="B1858" t="str">
            <v>Lüfter Gehäuse 80x80x38mm DB08038B12HPS01</v>
          </cell>
          <cell r="C1858">
            <v>27</v>
          </cell>
          <cell r="D1858">
            <v>14.09</v>
          </cell>
        </row>
        <row r="1859">
          <cell r="A1859">
            <v>2750161</v>
          </cell>
          <cell r="B1859" t="str">
            <v>Lüfter Gehäuse 80x80x25mm DS08025B12UP-180</v>
          </cell>
          <cell r="C1859">
            <v>104</v>
          </cell>
          <cell r="D1859">
            <v>7.08</v>
          </cell>
        </row>
        <row r="1860">
          <cell r="A1860">
            <v>2750170</v>
          </cell>
          <cell r="B1860" t="str">
            <v>Lüfter Gehäuse 120x120x25mm DA1205B12L</v>
          </cell>
          <cell r="C1860">
            <v>176</v>
          </cell>
          <cell r="D1860">
            <v>12.93</v>
          </cell>
        </row>
        <row r="1861">
          <cell r="A1861">
            <v>2750173</v>
          </cell>
          <cell r="B1861" t="str">
            <v>Cardreader Multi-Format  intern 3.5", Black</v>
          </cell>
          <cell r="C1861">
            <v>0</v>
          </cell>
          <cell r="D1861">
            <v>6.9</v>
          </cell>
        </row>
        <row r="1862">
          <cell r="A1862">
            <v>2759125</v>
          </cell>
          <cell r="B1862" t="str">
            <v>Cardreader Multi-Format [nur Blende New-White]</v>
          </cell>
          <cell r="C1862">
            <v>0</v>
          </cell>
          <cell r="D1862">
            <v>1</v>
          </cell>
        </row>
        <row r="1863">
          <cell r="A1863">
            <v>2759126</v>
          </cell>
          <cell r="B1863" t="str">
            <v>Cardreader Multi-Format [nur Blende Lichtgrau]</v>
          </cell>
          <cell r="C1863">
            <v>0</v>
          </cell>
          <cell r="D1863">
            <v>1</v>
          </cell>
        </row>
        <row r="1864">
          <cell r="A1864">
            <v>2796621</v>
          </cell>
          <cell r="B1864" t="str">
            <v>Gehäuselüfter 80x80x25mm 12V/NTC</v>
          </cell>
          <cell r="C1864">
            <v>253</v>
          </cell>
          <cell r="D1864">
            <v>11</v>
          </cell>
        </row>
        <row r="1865">
          <cell r="A1865">
            <v>2810007</v>
          </cell>
          <cell r="B1865" t="str">
            <v>Cherry G81-3504 LADDE-0 / USB / USB-Hub***</v>
          </cell>
          <cell r="C1865">
            <v>0</v>
          </cell>
          <cell r="D1865">
            <v>15.5</v>
          </cell>
        </row>
        <row r="1866">
          <cell r="A1866">
            <v>2810019</v>
          </cell>
          <cell r="B1866" t="str">
            <v>Cherry  G83 PS/2 französisch</v>
          </cell>
          <cell r="C1866">
            <v>0</v>
          </cell>
          <cell r="D1866">
            <v>12.5</v>
          </cell>
        </row>
        <row r="1867">
          <cell r="A1867">
            <v>2810023</v>
          </cell>
          <cell r="B1867" t="str">
            <v>Cherry  G83-6104 LPNEU-0 / PS2 / US</v>
          </cell>
          <cell r="C1867">
            <v>0</v>
          </cell>
          <cell r="D1867">
            <v>11</v>
          </cell>
        </row>
        <row r="1868">
          <cell r="A1868">
            <v>2810029</v>
          </cell>
          <cell r="B1868" t="str">
            <v>Cherry  G83 PS/2 deutsch</v>
          </cell>
          <cell r="C1868">
            <v>4</v>
          </cell>
          <cell r="D1868">
            <v>11</v>
          </cell>
        </row>
        <row r="1869">
          <cell r="A1869">
            <v>2810032</v>
          </cell>
          <cell r="B1869" t="str">
            <v>Cherry G84-4100 LCMEU-0/ PS2+USB / US / Slim+++</v>
          </cell>
          <cell r="C1869">
            <v>0</v>
          </cell>
          <cell r="D1869">
            <v>35</v>
          </cell>
        </row>
        <row r="1870">
          <cell r="A1870">
            <v>2810043</v>
          </cell>
          <cell r="B1870" t="str">
            <v>Cherry  G83 PS/2 spanisch</v>
          </cell>
          <cell r="C1870">
            <v>0</v>
          </cell>
          <cell r="D1870">
            <v>12.5</v>
          </cell>
        </row>
        <row r="1871">
          <cell r="A1871">
            <v>2810049</v>
          </cell>
          <cell r="B1871" t="str">
            <v>Cherry  G83-6105 LUNDE-0 / USB</v>
          </cell>
          <cell r="C1871">
            <v>0</v>
          </cell>
          <cell r="D1871">
            <v>10.5</v>
          </cell>
        </row>
        <row r="1872">
          <cell r="A1872">
            <v>2810051</v>
          </cell>
          <cell r="B1872" t="str">
            <v>Cherry  G83 PS/2 deutsch, schwarz</v>
          </cell>
          <cell r="C1872">
            <v>0</v>
          </cell>
          <cell r="D1872">
            <v>12.5</v>
          </cell>
        </row>
        <row r="1873">
          <cell r="A1873">
            <v>2810088</v>
          </cell>
          <cell r="B1873" t="str">
            <v>Cherry  G84-4100LCMDE-O</v>
          </cell>
          <cell r="C1873">
            <v>0</v>
          </cell>
          <cell r="D1873">
            <v>0</v>
          </cell>
        </row>
        <row r="1874">
          <cell r="A1874">
            <v>2810105</v>
          </cell>
          <cell r="B1874" t="str">
            <v>Cherry KeySkin für Karl Storz</v>
          </cell>
          <cell r="C1874">
            <v>0</v>
          </cell>
          <cell r="D1874">
            <v>10.5</v>
          </cell>
        </row>
        <row r="1875">
          <cell r="A1875">
            <v>2810111</v>
          </cell>
          <cell r="B1875" t="str">
            <v>Cherry CyMo Xpress Corded G86-21050DEAAAA bla/sil</v>
          </cell>
          <cell r="C1875">
            <v>0</v>
          </cell>
          <cell r="D1875">
            <v>18</v>
          </cell>
        </row>
        <row r="1876">
          <cell r="A1876">
            <v>2810121</v>
          </cell>
          <cell r="B1876" t="str">
            <v>Tastatur Cherry G80-1502 PS/2 dt. mit Kartenleser</v>
          </cell>
          <cell r="C1876">
            <v>0</v>
          </cell>
          <cell r="D1876">
            <v>121</v>
          </cell>
        </row>
        <row r="1877">
          <cell r="A1877">
            <v>2810122</v>
          </cell>
          <cell r="B1877" t="str">
            <v>Tastatur DE Cherry G83-6105 LUNDE-2 USB schwarz</v>
          </cell>
          <cell r="C1877">
            <v>0</v>
          </cell>
          <cell r="D1877">
            <v>12</v>
          </cell>
        </row>
        <row r="1878">
          <cell r="A1878">
            <v>2810123</v>
          </cell>
          <cell r="B1878" t="str">
            <v>Cherry G84-4100 PRMDE / PS2 / Slim BLACK</v>
          </cell>
          <cell r="C1878">
            <v>0</v>
          </cell>
          <cell r="D1878">
            <v>35</v>
          </cell>
        </row>
        <row r="1879">
          <cell r="A1879">
            <v>2810124</v>
          </cell>
          <cell r="B1879" t="str">
            <v>Cherry  G83 PS/2 englisch, schwarz</v>
          </cell>
          <cell r="C1879">
            <v>0</v>
          </cell>
          <cell r="D1879">
            <v>12.5</v>
          </cell>
        </row>
        <row r="1880">
          <cell r="A1880">
            <v>2810148</v>
          </cell>
          <cell r="B1880" t="str">
            <v>Cherry  G83-6104 LPNEU-2 / PS2 / US / BLACK/BLACK</v>
          </cell>
          <cell r="C1880">
            <v>0</v>
          </cell>
          <cell r="D1880">
            <v>13</v>
          </cell>
        </row>
        <row r="1881">
          <cell r="A1881">
            <v>2810155</v>
          </cell>
          <cell r="B1881" t="str">
            <v>Cherry  G83 PS/2 französisch, schwarz</v>
          </cell>
          <cell r="C1881">
            <v>0</v>
          </cell>
          <cell r="D1881">
            <v>14.5</v>
          </cell>
        </row>
        <row r="1882">
          <cell r="A1882">
            <v>2810159</v>
          </cell>
          <cell r="B1882" t="str">
            <v>Cherry CyMo Pro G85-20050DEAABA / USB / BLACK</v>
          </cell>
          <cell r="C1882">
            <v>0</v>
          </cell>
          <cell r="D1882">
            <v>10.75</v>
          </cell>
        </row>
        <row r="1883">
          <cell r="A1883">
            <v>2810162</v>
          </cell>
          <cell r="B1883" t="str">
            <v>Cherry  G83-6105 LUNGB-0 / USB / GB+++</v>
          </cell>
          <cell r="C1883">
            <v>0</v>
          </cell>
          <cell r="D1883">
            <v>11</v>
          </cell>
        </row>
        <row r="1884">
          <cell r="A1884">
            <v>2810166</v>
          </cell>
          <cell r="B1884" t="str">
            <v>Cherry G81-3000 LRNDE-2 / PS2 / BLACK/BLACK</v>
          </cell>
          <cell r="C1884">
            <v>0</v>
          </cell>
          <cell r="D1884">
            <v>21</v>
          </cell>
        </row>
        <row r="1885">
          <cell r="A1885">
            <v>2810174</v>
          </cell>
          <cell r="B1885" t="str">
            <v>Cherry  G83-6105 LUNRD-0 / USB / KY/DE</v>
          </cell>
          <cell r="C1885">
            <v>0</v>
          </cell>
          <cell r="D1885">
            <v>11.5</v>
          </cell>
        </row>
        <row r="1886">
          <cell r="A1886">
            <v>2810183</v>
          </cell>
          <cell r="B1886" t="str">
            <v>Cherry G81-3000 LUNDE-2 / USB / BLACK/BLACK</v>
          </cell>
          <cell r="C1886">
            <v>0</v>
          </cell>
          <cell r="D1886">
            <v>20.75</v>
          </cell>
        </row>
        <row r="1887">
          <cell r="A1887">
            <v>2810186</v>
          </cell>
          <cell r="B1887" t="str">
            <v>Cherry  G83-6104 LUNEU-2 / USB / US / BLACK</v>
          </cell>
          <cell r="C1887">
            <v>0</v>
          </cell>
          <cell r="D1887">
            <v>13</v>
          </cell>
        </row>
        <row r="1888">
          <cell r="A1888">
            <v>2810188</v>
          </cell>
          <cell r="B1888" t="str">
            <v>Cherry CyMo Pro G85-20050GBAABA / USB / GB/ BLACK+</v>
          </cell>
          <cell r="C1888">
            <v>2</v>
          </cell>
          <cell r="D1888">
            <v>5.78</v>
          </cell>
        </row>
        <row r="1889">
          <cell r="A1889">
            <v>2810221</v>
          </cell>
          <cell r="B1889" t="str">
            <v>Cherry  G83 USB spanisch, schwarz</v>
          </cell>
          <cell r="C1889">
            <v>0</v>
          </cell>
          <cell r="D1889">
            <v>14.5</v>
          </cell>
        </row>
        <row r="1890">
          <cell r="A1890">
            <v>2810240</v>
          </cell>
          <cell r="B1890" t="str">
            <v>Cherry G84-4400 LUBGB-0/USB/Slim/ GB Trackball++</v>
          </cell>
          <cell r="C1890">
            <v>0</v>
          </cell>
          <cell r="D1890">
            <v>85.2</v>
          </cell>
        </row>
        <row r="1891">
          <cell r="A1891">
            <v>2810265</v>
          </cell>
          <cell r="B1891" t="str">
            <v>Cherry Cordless Desktop B.UNLIMITED  rechargeable</v>
          </cell>
          <cell r="C1891">
            <v>0</v>
          </cell>
          <cell r="D1891">
            <v>38.5</v>
          </cell>
        </row>
        <row r="1892">
          <cell r="A1892">
            <v>2810273</v>
          </cell>
          <cell r="B1892" t="str">
            <v>T Cherry J82-16004  LUNDE-2 / USB / DE /  Black</v>
          </cell>
          <cell r="C1892">
            <v>0</v>
          </cell>
          <cell r="D1892">
            <v>7.9</v>
          </cell>
        </row>
        <row r="1893">
          <cell r="A1893">
            <v>2810278</v>
          </cell>
          <cell r="B1893" t="str">
            <v>Cherry Maus Wheelmouse Optical beige</v>
          </cell>
          <cell r="C1893">
            <v>0</v>
          </cell>
          <cell r="D1893">
            <v>3.7</v>
          </cell>
        </row>
        <row r="1894">
          <cell r="A1894">
            <v>2810283</v>
          </cell>
          <cell r="B1894" t="str">
            <v>Tastatur UK Cherry G83-6105 LUNGB-2 USB schwarz</v>
          </cell>
          <cell r="C1894">
            <v>0</v>
          </cell>
          <cell r="D1894">
            <v>12.95</v>
          </cell>
        </row>
        <row r="1895">
          <cell r="A1895">
            <v>2810293</v>
          </cell>
          <cell r="B1895" t="str">
            <v>Cherry Maus LIFE NANO Wireless Laser Mobile Mouse</v>
          </cell>
          <cell r="C1895">
            <v>0</v>
          </cell>
          <cell r="D1895">
            <v>17.899999999999999</v>
          </cell>
        </row>
        <row r="1896">
          <cell r="A1896">
            <v>2810296</v>
          </cell>
          <cell r="B1896" t="str">
            <v>Tastatur Cherry G84 PS/2 deutsch, schwarz, kompakt</v>
          </cell>
          <cell r="C1896">
            <v>0</v>
          </cell>
          <cell r="D1896">
            <v>37</v>
          </cell>
        </row>
        <row r="1897">
          <cell r="A1897">
            <v>2810301</v>
          </cell>
          <cell r="B1897" t="str">
            <v>Cherry G81-3000 LPCDE-2 / PS2+USB / BLACK</v>
          </cell>
          <cell r="C1897">
            <v>0</v>
          </cell>
          <cell r="D1897">
            <v>0</v>
          </cell>
        </row>
        <row r="1898">
          <cell r="A1898">
            <v>2810354</v>
          </cell>
          <cell r="B1898" t="str">
            <v>Cherry G84-5200 LCMEU-0 / PS2+USB / XS Complete US</v>
          </cell>
          <cell r="C1898">
            <v>0</v>
          </cell>
          <cell r="D1898">
            <v>45</v>
          </cell>
        </row>
        <row r="1899">
          <cell r="A1899">
            <v>2810539</v>
          </cell>
          <cell r="B1899" t="str">
            <v>Cherry Smartcard Reader (Retail)</v>
          </cell>
          <cell r="C1899">
            <v>0</v>
          </cell>
          <cell r="D1899">
            <v>17.68</v>
          </cell>
        </row>
        <row r="1900">
          <cell r="A1900">
            <v>2815012</v>
          </cell>
          <cell r="B1900" t="str">
            <v>Microsoft Wireless Mobile Mouse 1000 Black</v>
          </cell>
          <cell r="C1900">
            <v>1</v>
          </cell>
          <cell r="D1900">
            <v>8</v>
          </cell>
        </row>
        <row r="1901">
          <cell r="A1901">
            <v>2815058</v>
          </cell>
          <cell r="B1901" t="str">
            <v>Microsoft Wireless Desktop 800</v>
          </cell>
          <cell r="C1901">
            <v>0</v>
          </cell>
          <cell r="D1901">
            <v>15.5</v>
          </cell>
        </row>
        <row r="1902">
          <cell r="A1902">
            <v>2815123</v>
          </cell>
          <cell r="B1902" t="str">
            <v>Microsoft Basic Optical Mouse for Business (Black)</v>
          </cell>
          <cell r="C1902">
            <v>0</v>
          </cell>
          <cell r="D1902">
            <v>0</v>
          </cell>
        </row>
        <row r="1903">
          <cell r="A1903">
            <v>2902058</v>
          </cell>
          <cell r="B1903" t="str">
            <v>Cherry G84-4100 - Tastatur für Karl Storz</v>
          </cell>
          <cell r="C1903">
            <v>0</v>
          </cell>
          <cell r="D1903">
            <v>33.5</v>
          </cell>
        </row>
        <row r="1904">
          <cell r="A1904">
            <v>2902083</v>
          </cell>
          <cell r="B1904" t="str">
            <v>Cherry G83 PS/2 englisch</v>
          </cell>
          <cell r="C1904">
            <v>0</v>
          </cell>
          <cell r="D1904">
            <v>11</v>
          </cell>
        </row>
        <row r="1905">
          <cell r="A1905">
            <v>2902086</v>
          </cell>
          <cell r="B1905" t="str">
            <v>Cherry KeySkin 6105</v>
          </cell>
          <cell r="C1905">
            <v>0</v>
          </cell>
          <cell r="D1905">
            <v>0</v>
          </cell>
        </row>
        <row r="1906">
          <cell r="A1906">
            <v>2902102</v>
          </cell>
          <cell r="B1906" t="str">
            <v>Cherry G81-3000 LRNDE-0 / PS2</v>
          </cell>
          <cell r="C1906">
            <v>0</v>
          </cell>
          <cell r="D1906">
            <v>21</v>
          </cell>
        </row>
        <row r="1907">
          <cell r="A1907">
            <v>2902103</v>
          </cell>
          <cell r="B1907" t="str">
            <v>Cherry G81 USB+PS/2 deutsch</v>
          </cell>
          <cell r="C1907">
            <v>0</v>
          </cell>
          <cell r="D1907">
            <v>20</v>
          </cell>
        </row>
        <row r="1908">
          <cell r="A1908">
            <v>2902106</v>
          </cell>
          <cell r="B1908" t="str">
            <v>Cherry  G83-6300 LPNDE-0 / PS2 / Spritzwasser</v>
          </cell>
          <cell r="C1908">
            <v>0</v>
          </cell>
          <cell r="D1908">
            <v>21.5</v>
          </cell>
        </row>
        <row r="1909">
          <cell r="A1909">
            <v>2920120</v>
          </cell>
          <cell r="B1909" t="str">
            <v>LOGI Wheel Mouse optical S96 PS/2 OEM</v>
          </cell>
          <cell r="C1909">
            <v>5</v>
          </cell>
          <cell r="D1909">
            <v>4.5</v>
          </cell>
        </row>
        <row r="1910">
          <cell r="A1910">
            <v>2920137</v>
          </cell>
          <cell r="B1910" t="str">
            <v>Logi Wheel Mouse optical BT58 BLACK Combo OEM</v>
          </cell>
          <cell r="C1910">
            <v>0</v>
          </cell>
          <cell r="D1910">
            <v>5.2</v>
          </cell>
        </row>
        <row r="1911">
          <cell r="A1911">
            <v>2920143</v>
          </cell>
          <cell r="B1911" t="str">
            <v>Logi Cordless Desktop EX 110 opt. BLACK</v>
          </cell>
          <cell r="C1911">
            <v>0</v>
          </cell>
          <cell r="D1911">
            <v>37.5</v>
          </cell>
        </row>
        <row r="1912">
          <cell r="A1912">
            <v>2920161</v>
          </cell>
          <cell r="B1912" t="str">
            <v>Logi Deluxe Keyboard C3 PS/2 OEM</v>
          </cell>
          <cell r="C1912">
            <v>0</v>
          </cell>
          <cell r="D1912">
            <v>4.5</v>
          </cell>
        </row>
        <row r="1913">
          <cell r="A1913">
            <v>2920162</v>
          </cell>
          <cell r="B1913" t="str">
            <v>Logi Deluxe Keyboard C3 PS/2 OEM BLACK</v>
          </cell>
          <cell r="C1913">
            <v>0</v>
          </cell>
          <cell r="D1913">
            <v>5</v>
          </cell>
        </row>
        <row r="1914">
          <cell r="A1914">
            <v>2920164</v>
          </cell>
          <cell r="B1914" t="str">
            <v>Logi Mouse MX400 Laser PS/2 USB</v>
          </cell>
          <cell r="C1914">
            <v>0</v>
          </cell>
          <cell r="D1914">
            <v>24.9</v>
          </cell>
        </row>
        <row r="1915">
          <cell r="A1915">
            <v>2920169</v>
          </cell>
          <cell r="B1915" t="str">
            <v>Logi Deluxe Keyboard 250 PS/2 OEM</v>
          </cell>
          <cell r="C1915">
            <v>0</v>
          </cell>
          <cell r="D1915">
            <v>5.2</v>
          </cell>
        </row>
        <row r="1916">
          <cell r="A1916">
            <v>2920192</v>
          </cell>
          <cell r="B1916" t="str">
            <v>Logi Wheel Mouse opt. BT58 Combo OEM REFRESH</v>
          </cell>
          <cell r="C1916">
            <v>0</v>
          </cell>
          <cell r="D1916">
            <v>5.5</v>
          </cell>
        </row>
        <row r="1917">
          <cell r="A1917">
            <v>2920193</v>
          </cell>
          <cell r="B1917" t="str">
            <v>Logi Wheel Mouse opt. BT58 BLCK Combo OEM REFRESH</v>
          </cell>
          <cell r="C1917">
            <v>0</v>
          </cell>
          <cell r="D1917">
            <v>5.5</v>
          </cell>
        </row>
        <row r="1918">
          <cell r="A1918">
            <v>2920205</v>
          </cell>
          <cell r="B1918" t="str">
            <v>Logi optical Mouse RX250 OEM grey</v>
          </cell>
          <cell r="C1918">
            <v>0</v>
          </cell>
          <cell r="D1918">
            <v>4.95</v>
          </cell>
        </row>
        <row r="1919">
          <cell r="A1919">
            <v>2920206</v>
          </cell>
          <cell r="B1919" t="str">
            <v>Maus Logi RX250 OEM schwarz</v>
          </cell>
          <cell r="C1919">
            <v>10</v>
          </cell>
          <cell r="D1919">
            <v>4.5</v>
          </cell>
        </row>
        <row r="1920">
          <cell r="A1920">
            <v>2920230</v>
          </cell>
          <cell r="B1920" t="str">
            <v>Logi Ultra Flat Keyboard BLACK PS/2 USB</v>
          </cell>
          <cell r="C1920">
            <v>0</v>
          </cell>
          <cell r="D1920">
            <v>8</v>
          </cell>
        </row>
        <row r="1921">
          <cell r="A1921">
            <v>2920231</v>
          </cell>
          <cell r="B1921" t="str">
            <v>Logi Cordless Desktop S 520 opt. BLACK USB</v>
          </cell>
          <cell r="C1921">
            <v>0</v>
          </cell>
          <cell r="D1921">
            <v>31.9</v>
          </cell>
        </row>
        <row r="1922">
          <cell r="A1922">
            <v>2920239</v>
          </cell>
          <cell r="B1922" t="str">
            <v>LOGI Wheel Mouse optical SBF96 PS/2 OEM</v>
          </cell>
          <cell r="C1922">
            <v>0</v>
          </cell>
          <cell r="D1922">
            <v>4</v>
          </cell>
        </row>
        <row r="1923">
          <cell r="A1923">
            <v>2920244</v>
          </cell>
          <cell r="B1923" t="str">
            <v>Tastatur Logi Terra Ultra-Flat OEM weiß</v>
          </cell>
          <cell r="C1923">
            <v>8</v>
          </cell>
          <cell r="D1923">
            <v>6.99</v>
          </cell>
        </row>
        <row r="1924">
          <cell r="A1924">
            <v>2920263</v>
          </cell>
          <cell r="B1924" t="str">
            <v>T LOGI Keyboard K120 USB OEM black</v>
          </cell>
          <cell r="C1924">
            <v>0</v>
          </cell>
          <cell r="D1924">
            <v>3.5</v>
          </cell>
        </row>
        <row r="1925">
          <cell r="A1925">
            <v>2920267</v>
          </cell>
          <cell r="B1925" t="str">
            <v>Logi Wireless Desktop MK 320 2,4GHz opt. BLACK</v>
          </cell>
          <cell r="C1925">
            <v>1</v>
          </cell>
          <cell r="D1925">
            <v>34.119999999999997</v>
          </cell>
        </row>
        <row r="1926">
          <cell r="A1926">
            <v>2920268</v>
          </cell>
          <cell r="B1926" t="str">
            <v>Logitech optical Mouse B110 OEM Black</v>
          </cell>
          <cell r="C1926">
            <v>0</v>
          </cell>
          <cell r="D1926">
            <v>4</v>
          </cell>
        </row>
        <row r="1927">
          <cell r="A1927">
            <v>2920273</v>
          </cell>
          <cell r="B1927" t="str">
            <v>Maus Wheel optisch USB LOGI B110 grau</v>
          </cell>
          <cell r="C1927">
            <v>0</v>
          </cell>
          <cell r="D1927">
            <v>3.94</v>
          </cell>
        </row>
        <row r="1928">
          <cell r="A1928">
            <v>2920378</v>
          </cell>
          <cell r="B1928" t="str">
            <v>Tastatur Logitech Desktop MK330 Wireless, schwarz</v>
          </cell>
          <cell r="C1928">
            <v>47</v>
          </cell>
          <cell r="D1928">
            <v>24.5</v>
          </cell>
        </row>
        <row r="1929">
          <cell r="A1929">
            <v>2920406</v>
          </cell>
          <cell r="B1929" t="str">
            <v>Logitech Mouse B100 Optical White OEM</v>
          </cell>
          <cell r="C1929">
            <v>1066</v>
          </cell>
          <cell r="D1929">
            <v>3.9</v>
          </cell>
        </row>
        <row r="1930">
          <cell r="A1930">
            <v>2921006</v>
          </cell>
          <cell r="B1930" t="str">
            <v>Logi Speaker V20 BLACK for Notebooks</v>
          </cell>
          <cell r="C1930">
            <v>0</v>
          </cell>
          <cell r="D1930">
            <v>40.9</v>
          </cell>
        </row>
        <row r="1931">
          <cell r="A1931">
            <v>2922209</v>
          </cell>
          <cell r="B1931" t="str">
            <v xml:space="preserve"> Tulip Mouse HI-RES Scroller PS2 (M-S69)***</v>
          </cell>
          <cell r="C1931">
            <v>0</v>
          </cell>
          <cell r="D1931">
            <v>5</v>
          </cell>
        </row>
        <row r="1932">
          <cell r="A1932">
            <v>2922213</v>
          </cell>
          <cell r="B1932" t="str">
            <v>T LOGI Wheel Mouse opt. M-SBF96 PS/2 BLACK OEM***</v>
          </cell>
          <cell r="C1932">
            <v>0</v>
          </cell>
          <cell r="D1932">
            <v>4.2</v>
          </cell>
        </row>
        <row r="1933">
          <cell r="A1933">
            <v>2922214</v>
          </cell>
          <cell r="B1933" t="str">
            <v>LOGI Wheel Mouse opt. M-SBF96v PS/2 OEM***</v>
          </cell>
          <cell r="C1933">
            <v>0</v>
          </cell>
          <cell r="D1933">
            <v>4.5</v>
          </cell>
        </row>
        <row r="1934">
          <cell r="A1934">
            <v>2922318</v>
          </cell>
          <cell r="B1934" t="str">
            <v>T LOGI Wheel Mouse opt. M-UAE96 USB OEM</v>
          </cell>
          <cell r="C1934">
            <v>0</v>
          </cell>
          <cell r="D1934">
            <v>4.9000000000000004</v>
          </cell>
        </row>
        <row r="1935">
          <cell r="A1935">
            <v>2922330</v>
          </cell>
          <cell r="B1935" t="str">
            <v>T LOGI WheelMouse opt. M-UAE96 USB OEM black</v>
          </cell>
          <cell r="C1935">
            <v>0</v>
          </cell>
          <cell r="D1935">
            <v>9.5</v>
          </cell>
        </row>
        <row r="1936">
          <cell r="A1936">
            <v>2922331</v>
          </cell>
          <cell r="B1936" t="str">
            <v>T LOGI Wheel Mouse opt. M-UAE96 USB BLACK OEM</v>
          </cell>
          <cell r="C1936">
            <v>0</v>
          </cell>
          <cell r="D1936">
            <v>5</v>
          </cell>
        </row>
        <row r="1937">
          <cell r="A1937">
            <v>2922333</v>
          </cell>
          <cell r="B1937" t="str">
            <v>LOGI Wheel Mouse opt. M-UAE96 USB OEM</v>
          </cell>
          <cell r="C1937">
            <v>0</v>
          </cell>
          <cell r="D1937">
            <v>4</v>
          </cell>
        </row>
        <row r="1938">
          <cell r="A1938">
            <v>2922336</v>
          </cell>
          <cell r="B1938" t="str">
            <v>Maus Logi Terra Laser OEM weiß</v>
          </cell>
          <cell r="C1938">
            <v>8</v>
          </cell>
          <cell r="D1938">
            <v>7</v>
          </cell>
        </row>
        <row r="1939">
          <cell r="A1939">
            <v>2922360</v>
          </cell>
          <cell r="B1939" t="str">
            <v>Tastatur/Maus Logi Wireless Desktop MK250 schwarz</v>
          </cell>
          <cell r="C1939">
            <v>3</v>
          </cell>
          <cell r="D1939">
            <v>16</v>
          </cell>
        </row>
        <row r="1940">
          <cell r="A1940">
            <v>2922362</v>
          </cell>
          <cell r="B1940" t="str">
            <v>Logi Wireless Desktop MK250 2,4GHz USB</v>
          </cell>
          <cell r="C1940">
            <v>0</v>
          </cell>
          <cell r="D1940">
            <v>19.899999999999999</v>
          </cell>
        </row>
        <row r="1941">
          <cell r="A1941" t="str">
            <v>2990001M_A</v>
          </cell>
          <cell r="B1941" t="str">
            <v>Basis Model THA.leia 21,5" TOUCH</v>
          </cell>
          <cell r="C1941">
            <v>0</v>
          </cell>
          <cell r="D1941">
            <v>946.72</v>
          </cell>
        </row>
        <row r="1942">
          <cell r="A1942" t="str">
            <v>2990002M_A</v>
          </cell>
          <cell r="B1942" t="str">
            <v>Basis Model THA.leia 21,5" NON-TOUCH</v>
          </cell>
          <cell r="C1942">
            <v>0</v>
          </cell>
          <cell r="D1942">
            <v>769.65</v>
          </cell>
        </row>
        <row r="1943">
          <cell r="A1943" t="str">
            <v>30000001M</v>
          </cell>
          <cell r="B1943" t="str">
            <v>Vesa-Halterung auf AESCU.certus</v>
          </cell>
          <cell r="C1943">
            <v>0</v>
          </cell>
          <cell r="D1943">
            <v>142</v>
          </cell>
        </row>
        <row r="1944">
          <cell r="A1944" t="str">
            <v>3000002M</v>
          </cell>
          <cell r="B1944" t="str">
            <v>Artema Modular (Controller basiert) mit ACR Manual</v>
          </cell>
          <cell r="C1944">
            <v>0</v>
          </cell>
          <cell r="D1944">
            <v>1028</v>
          </cell>
        </row>
        <row r="1945">
          <cell r="A1945" t="str">
            <v>3000003M</v>
          </cell>
          <cell r="B1945" t="str">
            <v>Parallel Port für AESCU.certus1</v>
          </cell>
          <cell r="C1945">
            <v>6</v>
          </cell>
          <cell r="D1945">
            <v>4</v>
          </cell>
        </row>
        <row r="1946">
          <cell r="A1946" t="str">
            <v>3000004M</v>
          </cell>
          <cell r="B1946" t="str">
            <v>IO Shield für RS Mainboard PL35Q UATX</v>
          </cell>
          <cell r="C1946">
            <v>0</v>
          </cell>
          <cell r="D1946">
            <v>1.27</v>
          </cell>
        </row>
        <row r="1947">
          <cell r="A1947" t="str">
            <v>3000005M</v>
          </cell>
          <cell r="B1947" t="str">
            <v>LPT und COM2 Port inkl. Slotblech</v>
          </cell>
          <cell r="C1947">
            <v>0</v>
          </cell>
          <cell r="D1947">
            <v>4.2</v>
          </cell>
        </row>
        <row r="1948">
          <cell r="A1948" t="str">
            <v>3000006M</v>
          </cell>
          <cell r="B1948" t="str">
            <v>LPT Kabel 25cm</v>
          </cell>
          <cell r="C1948">
            <v>0</v>
          </cell>
          <cell r="D1948">
            <v>4</v>
          </cell>
        </row>
        <row r="1949">
          <cell r="A1949" t="str">
            <v>3000007M</v>
          </cell>
          <cell r="B1949" t="str">
            <v>Slotblech LPT und COM2</v>
          </cell>
          <cell r="C1949">
            <v>0</v>
          </cell>
          <cell r="D1949">
            <v>1.35</v>
          </cell>
        </row>
        <row r="1950">
          <cell r="A1950" t="str">
            <v>3000008M</v>
          </cell>
          <cell r="B1950" t="str">
            <v>Touch Option für Panel PC19"</v>
          </cell>
          <cell r="C1950">
            <v>0</v>
          </cell>
          <cell r="D1950">
            <v>176.5</v>
          </cell>
        </row>
        <row r="1951">
          <cell r="A1951" t="str">
            <v>3000009M</v>
          </cell>
          <cell r="B1951" t="str">
            <v>SmartCard Rreader für T10Y</v>
          </cell>
          <cell r="C1951">
            <v>0</v>
          </cell>
          <cell r="D1951">
            <v>38.6</v>
          </cell>
        </row>
        <row r="1952">
          <cell r="A1952" t="str">
            <v>3000010M</v>
          </cell>
          <cell r="B1952" t="str">
            <v>Arduino UNO Microcontroller Board</v>
          </cell>
          <cell r="C1952">
            <v>0</v>
          </cell>
          <cell r="D1952">
            <v>24</v>
          </cell>
        </row>
        <row r="1953">
          <cell r="A1953">
            <v>3000086</v>
          </cell>
          <cell r="B1953" t="str">
            <v>MAGiC 1998BP Business Class TCO 99</v>
          </cell>
          <cell r="C1953">
            <v>0</v>
          </cell>
          <cell r="D1953">
            <v>104</v>
          </cell>
        </row>
        <row r="1954">
          <cell r="A1954">
            <v>3000117</v>
          </cell>
          <cell r="B1954" t="str">
            <v>WOV 320 TO 03 W LCD/TV 32" HD-TV ready</v>
          </cell>
          <cell r="C1954">
            <v>0</v>
          </cell>
          <cell r="D1954">
            <v>409.5</v>
          </cell>
        </row>
        <row r="1955">
          <cell r="A1955">
            <v>3000145</v>
          </cell>
          <cell r="B1955" t="str">
            <v>LCD 19" EM599 TCO99, 8ms, 700:1</v>
          </cell>
          <cell r="C1955">
            <v>0</v>
          </cell>
          <cell r="D1955">
            <v>159</v>
          </cell>
        </row>
        <row r="1956">
          <cell r="A1956">
            <v>3000334</v>
          </cell>
          <cell r="B1956" t="str">
            <v>MCD Vision Line 19" Display</v>
          </cell>
          <cell r="C1956">
            <v>0</v>
          </cell>
          <cell r="D1956">
            <v>282</v>
          </cell>
        </row>
        <row r="1957">
          <cell r="A1957">
            <v>3010062</v>
          </cell>
          <cell r="B1957" t="str">
            <v>LCD Power Adapter Typ A</v>
          </cell>
          <cell r="C1957">
            <v>0</v>
          </cell>
          <cell r="D1957">
            <v>21</v>
          </cell>
        </row>
        <row r="1958">
          <cell r="A1958">
            <v>3010067</v>
          </cell>
          <cell r="B1958" t="str">
            <v>LCD-Wandhalterung VESA, flach, starr</v>
          </cell>
          <cell r="C1958">
            <v>0</v>
          </cell>
          <cell r="D1958">
            <v>15</v>
          </cell>
        </row>
        <row r="1959">
          <cell r="A1959">
            <v>3010070</v>
          </cell>
          <cell r="B1959" t="str">
            <v>LCD-VESA Adapterplatte 75mm-&gt;100mm***</v>
          </cell>
          <cell r="C1959">
            <v>0</v>
          </cell>
          <cell r="D1959">
            <v>0</v>
          </cell>
        </row>
        <row r="1960">
          <cell r="A1960">
            <v>3010072</v>
          </cell>
          <cell r="B1960" t="str">
            <v>LCD-Power-Kabelsatz Verlängerung 1,8 m</v>
          </cell>
          <cell r="C1960">
            <v>0</v>
          </cell>
          <cell r="D1960">
            <v>9</v>
          </cell>
        </row>
        <row r="1961">
          <cell r="A1961">
            <v>3010073</v>
          </cell>
          <cell r="B1961" t="str">
            <v>LCD-Power-Kabelsatz MPG Typ D</v>
          </cell>
          <cell r="C1961">
            <v>0</v>
          </cell>
          <cell r="D1961">
            <v>29</v>
          </cell>
        </row>
        <row r="1962">
          <cell r="A1962">
            <v>3010074</v>
          </cell>
          <cell r="B1962" t="str">
            <v>LCD-Power-Kabelsatz Verlängerung 3,0 m</v>
          </cell>
          <cell r="C1962">
            <v>0</v>
          </cell>
          <cell r="D1962">
            <v>0</v>
          </cell>
        </row>
        <row r="1963">
          <cell r="A1963">
            <v>3010075</v>
          </cell>
          <cell r="B1963" t="str">
            <v>LCD-Power-Kabelsatz Verlängerung 10,0 m Typ A</v>
          </cell>
          <cell r="C1963">
            <v>0</v>
          </cell>
          <cell r="D1963">
            <v>30</v>
          </cell>
        </row>
        <row r="1964">
          <cell r="A1964">
            <v>3011001</v>
          </cell>
          <cell r="B1964" t="str">
            <v>LCD-Wandhalterung   EFW 1001</v>
          </cell>
          <cell r="C1964">
            <v>0</v>
          </cell>
          <cell r="D1964">
            <v>47.9</v>
          </cell>
        </row>
        <row r="1965">
          <cell r="A1965">
            <v>3011002</v>
          </cell>
          <cell r="B1965" t="str">
            <v>Vesa Wandhalterung, mit AC-in, 4x USB, VGA, LAN</v>
          </cell>
          <cell r="C1965">
            <v>0</v>
          </cell>
          <cell r="D1965">
            <v>96</v>
          </cell>
        </row>
        <row r="1966">
          <cell r="A1966">
            <v>3011003</v>
          </cell>
          <cell r="B1966" t="str">
            <v>Wallmount SlimBook P120</v>
          </cell>
          <cell r="C1966">
            <v>0</v>
          </cell>
          <cell r="D1966">
            <v>85</v>
          </cell>
        </row>
        <row r="1967">
          <cell r="A1967" t="str">
            <v>3030001M</v>
          </cell>
          <cell r="B1967" t="str">
            <v>Gehäuse MPM II 0-Serie Cortexon</v>
          </cell>
          <cell r="C1967">
            <v>0</v>
          </cell>
          <cell r="D1967">
            <v>325</v>
          </cell>
        </row>
        <row r="1968">
          <cell r="A1968" t="str">
            <v>3030002M</v>
          </cell>
          <cell r="B1968" t="str">
            <v>19" Montagebügel für MPM II Cortexon</v>
          </cell>
          <cell r="C1968">
            <v>0</v>
          </cell>
          <cell r="D1968">
            <v>9.08</v>
          </cell>
        </row>
        <row r="1969">
          <cell r="A1969" t="str">
            <v>3030003M</v>
          </cell>
          <cell r="B1969" t="str">
            <v>CABINET HISTOSCANNING CLINSCANNER</v>
          </cell>
          <cell r="C1969">
            <v>0</v>
          </cell>
          <cell r="D1969">
            <v>165</v>
          </cell>
        </row>
        <row r="1970">
          <cell r="A1970" t="str">
            <v>3030004M</v>
          </cell>
          <cell r="B1970" t="str">
            <v>Gehäuse VEIO.vis</v>
          </cell>
          <cell r="C1970">
            <v>0</v>
          </cell>
          <cell r="D1970">
            <v>0</v>
          </cell>
        </row>
        <row r="1971">
          <cell r="A1971" t="str">
            <v>3030005M</v>
          </cell>
          <cell r="B1971" t="str">
            <v>Gehäusesatz AESCU.certus</v>
          </cell>
          <cell r="C1971">
            <v>0</v>
          </cell>
          <cell r="D1971">
            <v>500</v>
          </cell>
        </row>
        <row r="1972">
          <cell r="A1972" t="str">
            <v>3030006M</v>
          </cell>
          <cell r="B1972" t="str">
            <v>Halterung Riserkarte THA.leia</v>
          </cell>
          <cell r="C1972">
            <v>0</v>
          </cell>
          <cell r="D1972">
            <v>6.88</v>
          </cell>
        </row>
        <row r="1973">
          <cell r="A1973" t="str">
            <v>3030007M</v>
          </cell>
          <cell r="B1973" t="str">
            <v>Gehäuse Storz AIDA Fusion</v>
          </cell>
          <cell r="C1973">
            <v>0</v>
          </cell>
          <cell r="D1973">
            <v>389</v>
          </cell>
        </row>
        <row r="1974">
          <cell r="A1974" t="str">
            <v>3030008M</v>
          </cell>
          <cell r="B1974" t="str">
            <v>Frontfolie 20205520</v>
          </cell>
          <cell r="C1974">
            <v>0</v>
          </cell>
          <cell r="D1974">
            <v>17.899999999999999</v>
          </cell>
        </row>
        <row r="1975">
          <cell r="A1975" t="str">
            <v>3030009M</v>
          </cell>
          <cell r="B1975" t="str">
            <v>Frontplatte mit Frontfolie 20205520</v>
          </cell>
          <cell r="C1975">
            <v>0</v>
          </cell>
          <cell r="D1975">
            <v>48.35</v>
          </cell>
        </row>
        <row r="1976">
          <cell r="A1976" t="str">
            <v>3030010M</v>
          </cell>
          <cell r="B1976" t="str">
            <v>Gehäuse Storz OR1 FUSION control</v>
          </cell>
          <cell r="C1976">
            <v>0</v>
          </cell>
          <cell r="D1976">
            <v>0</v>
          </cell>
        </row>
        <row r="1977">
          <cell r="A1977" t="str">
            <v>3030011M</v>
          </cell>
          <cell r="B1977" t="str">
            <v>Frontplatte Karl Storz Fusion</v>
          </cell>
          <cell r="C1977">
            <v>0</v>
          </cell>
          <cell r="D1977">
            <v>114.05</v>
          </cell>
        </row>
        <row r="1978">
          <cell r="A1978" t="str">
            <v>3030012M</v>
          </cell>
          <cell r="B1978" t="str">
            <v>Frontfolie 20205820</v>
          </cell>
          <cell r="C1978">
            <v>21</v>
          </cell>
          <cell r="D1978">
            <v>54.8</v>
          </cell>
        </row>
        <row r="1979">
          <cell r="A1979" t="str">
            <v>3030013M</v>
          </cell>
          <cell r="B1979" t="str">
            <v>Frontpl. blank  AIDA HD Connect Optiarc ohne USB</v>
          </cell>
          <cell r="C1979">
            <v>0</v>
          </cell>
          <cell r="D1979">
            <v>39.700000000000003</v>
          </cell>
        </row>
        <row r="1980">
          <cell r="A1980" t="str">
            <v>3030014M</v>
          </cell>
          <cell r="B1980" t="str">
            <v>Frontplatte blank  AIDA Fusion</v>
          </cell>
          <cell r="C1980">
            <v>0</v>
          </cell>
          <cell r="D1980">
            <v>29.9</v>
          </cell>
        </row>
        <row r="1981">
          <cell r="A1981" t="str">
            <v>3030015M</v>
          </cell>
          <cell r="B1981" t="str">
            <v>Gehäuse Storz AIDA Fusion</v>
          </cell>
          <cell r="C1981">
            <v>0</v>
          </cell>
          <cell r="D1981">
            <v>330.9</v>
          </cell>
        </row>
        <row r="1982">
          <cell r="A1982" t="str">
            <v>3030016M</v>
          </cell>
          <cell r="B1982" t="str">
            <v>Frontfolie Karl Storz</v>
          </cell>
          <cell r="C1982">
            <v>0</v>
          </cell>
          <cell r="D1982">
            <v>63.9</v>
          </cell>
        </row>
        <row r="1983">
          <cell r="A1983" t="str">
            <v>3030017M</v>
          </cell>
          <cell r="B1983" t="str">
            <v>Eccentric Roller</v>
          </cell>
          <cell r="C1983">
            <v>8</v>
          </cell>
          <cell r="D1983">
            <v>0</v>
          </cell>
        </row>
        <row r="1984">
          <cell r="A1984" t="str">
            <v>3030018M</v>
          </cell>
          <cell r="B1984" t="str">
            <v>Gehäuse PANA.ceia AMD HistoScanning G2</v>
          </cell>
          <cell r="C1984">
            <v>14</v>
          </cell>
          <cell r="D1984">
            <v>180.4</v>
          </cell>
        </row>
        <row r="1985">
          <cell r="A1985" t="str">
            <v>3030019M</v>
          </cell>
          <cell r="B1985" t="str">
            <v>Bezel Bottom Display Diecast</v>
          </cell>
          <cell r="C1985">
            <v>0</v>
          </cell>
          <cell r="D1985">
            <v>35.32</v>
          </cell>
        </row>
        <row r="1986">
          <cell r="A1986" t="str">
            <v>3030020M</v>
          </cell>
          <cell r="B1986" t="str">
            <v>Bezel Top Display Diecast</v>
          </cell>
          <cell r="C1986">
            <v>0</v>
          </cell>
          <cell r="D1986">
            <v>30.68</v>
          </cell>
        </row>
        <row r="1987">
          <cell r="A1987" t="str">
            <v>3030021M</v>
          </cell>
          <cell r="B1987" t="str">
            <v>Gehäuse PANA.ceia MCD ohne DVD/CD</v>
          </cell>
          <cell r="C1987">
            <v>0</v>
          </cell>
          <cell r="D1987">
            <v>142.6</v>
          </cell>
        </row>
        <row r="1988">
          <cell r="A1988">
            <v>3030022</v>
          </cell>
          <cell r="B1988" t="str">
            <v>Neovo LCD X-15 BLACK</v>
          </cell>
          <cell r="C1988">
            <v>0</v>
          </cell>
          <cell r="D1988">
            <v>255</v>
          </cell>
        </row>
        <row r="1989">
          <cell r="A1989" t="str">
            <v>3030022M</v>
          </cell>
          <cell r="B1989" t="str">
            <v>Frontfolie 20205820 Komplett</v>
          </cell>
          <cell r="C1989">
            <v>0</v>
          </cell>
          <cell r="D1989">
            <v>0</v>
          </cell>
        </row>
        <row r="1990">
          <cell r="A1990" t="str">
            <v>3030023M</v>
          </cell>
          <cell r="B1990" t="str">
            <v>Gehäuse GHI_M41 ATXR</v>
          </cell>
          <cell r="C1990">
            <v>0</v>
          </cell>
          <cell r="D1990">
            <v>1117.8</v>
          </cell>
        </row>
        <row r="1991">
          <cell r="A1991" t="str">
            <v>3030024M</v>
          </cell>
          <cell r="B1991" t="str">
            <v>Gehäuse THA.leia² 21.5" Panel PC</v>
          </cell>
          <cell r="C1991">
            <v>0</v>
          </cell>
          <cell r="D1991">
            <v>3900</v>
          </cell>
        </row>
        <row r="1992">
          <cell r="A1992" t="str">
            <v>3030025M</v>
          </cell>
          <cell r="B1992" t="str">
            <v>Mount Switch AIDA HD SmartScreen</v>
          </cell>
          <cell r="C1992">
            <v>558</v>
          </cell>
          <cell r="D1992">
            <v>2.9</v>
          </cell>
        </row>
        <row r="1993">
          <cell r="A1993" t="str">
            <v>3030026M</v>
          </cell>
          <cell r="B1993" t="str">
            <v>Gehäuse Standfuß Rund Ø21mm Höhe 6mm schwarz</v>
          </cell>
          <cell r="C1993">
            <v>400</v>
          </cell>
          <cell r="D1993">
            <v>0.33</v>
          </cell>
        </row>
        <row r="1994">
          <cell r="A1994" t="str">
            <v>3030027M</v>
          </cell>
          <cell r="B1994" t="str">
            <v>Gehäuse PANA.ceia² MCD</v>
          </cell>
          <cell r="C1994">
            <v>0</v>
          </cell>
          <cell r="D1994">
            <v>108</v>
          </cell>
        </row>
        <row r="1995">
          <cell r="A1995" t="str">
            <v>3030028M</v>
          </cell>
          <cell r="B1995" t="str">
            <v>Gehäuse Storz OR1 Control 200971 20</v>
          </cell>
          <cell r="C1995">
            <v>80</v>
          </cell>
          <cell r="D1995">
            <v>239.2</v>
          </cell>
        </row>
        <row r="1996">
          <cell r="A1996" t="str">
            <v>3030029M</v>
          </cell>
          <cell r="B1996" t="str">
            <v>Gehäuse PANA.ceia² Schiller</v>
          </cell>
          <cell r="C1996">
            <v>0</v>
          </cell>
          <cell r="D1996">
            <v>103.21</v>
          </cell>
        </row>
        <row r="1997">
          <cell r="A1997" t="str">
            <v>3030030M</v>
          </cell>
          <cell r="B1997" t="str">
            <v>Gehäusedeckel PANA.ceia AMD BOM2</v>
          </cell>
          <cell r="C1997">
            <v>5</v>
          </cell>
          <cell r="D1997">
            <v>59.5</v>
          </cell>
        </row>
        <row r="1998">
          <cell r="A1998" t="str">
            <v>3030031M</v>
          </cell>
          <cell r="B1998" t="str">
            <v>Gehäuse PANA.ceia² MCD</v>
          </cell>
          <cell r="C1998">
            <v>0</v>
          </cell>
          <cell r="D1998">
            <v>108.75</v>
          </cell>
        </row>
        <row r="1999">
          <cell r="A1999" t="str">
            <v>3030032M</v>
          </cell>
          <cell r="B1999" t="str">
            <v>Halterung SSD AMD BOM 2</v>
          </cell>
          <cell r="C1999">
            <v>23</v>
          </cell>
          <cell r="D1999">
            <v>3.04</v>
          </cell>
        </row>
        <row r="2000">
          <cell r="A2000" t="str">
            <v>3030033M</v>
          </cell>
          <cell r="B2000" t="str">
            <v>Gehäuse OMNI.view mit Aussparung für E-Komponenten</v>
          </cell>
          <cell r="C2000">
            <v>0</v>
          </cell>
          <cell r="D2000">
            <v>0</v>
          </cell>
        </row>
        <row r="2001">
          <cell r="A2001" t="str">
            <v>3030034M</v>
          </cell>
          <cell r="B2001" t="str">
            <v>Gehäuse PANA.ceia² MCD</v>
          </cell>
          <cell r="C2001">
            <v>0</v>
          </cell>
          <cell r="D2001">
            <v>104.85</v>
          </cell>
        </row>
        <row r="2002">
          <cell r="A2002" t="str">
            <v>3030035M</v>
          </cell>
          <cell r="B2002" t="str">
            <v>Gehäusedeckel PANA.ceia AMD BOM1</v>
          </cell>
          <cell r="C2002">
            <v>0</v>
          </cell>
          <cell r="D2002">
            <v>59.5</v>
          </cell>
        </row>
        <row r="2003">
          <cell r="A2003" t="str">
            <v>3030036M</v>
          </cell>
          <cell r="B2003" t="str">
            <v>Gehäuse PANA.ceia² - Schiller</v>
          </cell>
          <cell r="C2003">
            <v>0</v>
          </cell>
          <cell r="D2003">
            <v>104.85</v>
          </cell>
        </row>
        <row r="2004">
          <cell r="A2004" t="str">
            <v>3030037M</v>
          </cell>
          <cell r="B2004" t="str">
            <v>Gehäuse PANA.ceia² Neutral - ohne Bedruckung</v>
          </cell>
          <cell r="C2004">
            <v>0</v>
          </cell>
          <cell r="D2004">
            <v>104.85</v>
          </cell>
        </row>
        <row r="2005">
          <cell r="A2005" t="str">
            <v>3030038M</v>
          </cell>
          <cell r="B2005" t="str">
            <v>Gehäuse Storz AIDA OR1 Fusion control</v>
          </cell>
          <cell r="C2005">
            <v>186</v>
          </cell>
          <cell r="D2005">
            <v>238.15</v>
          </cell>
        </row>
        <row r="2006">
          <cell r="A2006" t="str">
            <v>3030039M</v>
          </cell>
          <cell r="B2006" t="str">
            <v>Gehäuse PC AMD BOM3</v>
          </cell>
          <cell r="C2006">
            <v>1</v>
          </cell>
          <cell r="D2006">
            <v>1600</v>
          </cell>
        </row>
        <row r="2007">
          <cell r="A2007" t="str">
            <v>3030040M</v>
          </cell>
          <cell r="B2007" t="str">
            <v>Adapterblech AESCU.certus 3x USB Rückseite</v>
          </cell>
          <cell r="C2007">
            <v>105</v>
          </cell>
          <cell r="D2007">
            <v>5.65</v>
          </cell>
        </row>
        <row r="2008">
          <cell r="A2008" t="str">
            <v>3030041M</v>
          </cell>
          <cell r="B2008" t="str">
            <v>Adapterblech AESCU.certus COM3/COM4/COM5 Rückseite</v>
          </cell>
          <cell r="C2008">
            <v>100</v>
          </cell>
          <cell r="D2008">
            <v>5.9</v>
          </cell>
        </row>
        <row r="2009">
          <cell r="A2009" t="str">
            <v>3030042M</v>
          </cell>
          <cell r="B2009" t="str">
            <v>Gehäuse Tastatur Halterung AMD BOM3</v>
          </cell>
          <cell r="C2009">
            <v>1</v>
          </cell>
          <cell r="D2009">
            <v>550</v>
          </cell>
        </row>
        <row r="2010">
          <cell r="A2010" t="str">
            <v>3030043M</v>
          </cell>
          <cell r="B2010" t="str">
            <v>Gehäuse Monitorhalterung AMD BOM3</v>
          </cell>
          <cell r="C2010">
            <v>2</v>
          </cell>
          <cell r="D2010">
            <v>40</v>
          </cell>
        </row>
        <row r="2011">
          <cell r="A2011" t="str">
            <v>3030044M</v>
          </cell>
          <cell r="B2011" t="str">
            <v>Frontfolie Karl Storz FUSION control WO100</v>
          </cell>
          <cell r="C2011">
            <v>0</v>
          </cell>
          <cell r="D2011">
            <v>19.2</v>
          </cell>
        </row>
        <row r="2012">
          <cell r="A2012" t="str">
            <v>3030045M</v>
          </cell>
          <cell r="B2012" t="str">
            <v>Bezel Top Display Diecast</v>
          </cell>
          <cell r="C2012">
            <v>279</v>
          </cell>
          <cell r="D2012">
            <v>29.65</v>
          </cell>
        </row>
        <row r="2013">
          <cell r="A2013" t="str">
            <v>3030046M</v>
          </cell>
          <cell r="B2013" t="str">
            <v>Bezel Bottom Display Diecast</v>
          </cell>
          <cell r="C2013">
            <v>252</v>
          </cell>
          <cell r="D2013">
            <v>36.32</v>
          </cell>
        </row>
        <row r="2014">
          <cell r="A2014" t="str">
            <v>3030047M</v>
          </cell>
          <cell r="B2014" t="str">
            <v>Gehäuse Storz AIDA Control 200461 20 ohne Front</v>
          </cell>
          <cell r="C2014">
            <v>44</v>
          </cell>
          <cell r="D2014">
            <v>204.5</v>
          </cell>
        </row>
        <row r="2015">
          <cell r="A2015" t="str">
            <v>3030048M</v>
          </cell>
          <cell r="B2015" t="str">
            <v>Frontplatte Karl Storz AIDA control blank</v>
          </cell>
          <cell r="C2015">
            <v>44</v>
          </cell>
          <cell r="D2015">
            <v>20</v>
          </cell>
        </row>
        <row r="2016">
          <cell r="A2016">
            <v>3030049</v>
          </cell>
          <cell r="B2016" t="str">
            <v>Neovo LCD X-19 BLACK</v>
          </cell>
          <cell r="C2016">
            <v>0</v>
          </cell>
          <cell r="D2016">
            <v>410</v>
          </cell>
        </row>
        <row r="2017">
          <cell r="A2017" t="str">
            <v>3030049M</v>
          </cell>
          <cell r="B2017" t="str">
            <v>Frontfolie AIDA control NEO</v>
          </cell>
          <cell r="C2017">
            <v>0</v>
          </cell>
          <cell r="D2017">
            <v>18.3</v>
          </cell>
        </row>
        <row r="2018">
          <cell r="A2018" t="str">
            <v>3030050M</v>
          </cell>
          <cell r="B2018" t="str">
            <v>Frontplatte Karl Storz AIDA control Komplett</v>
          </cell>
          <cell r="C2018">
            <v>2</v>
          </cell>
          <cell r="D2018">
            <v>41.06</v>
          </cell>
        </row>
        <row r="2019">
          <cell r="A2019" t="str">
            <v>3030051M</v>
          </cell>
          <cell r="B2019" t="str">
            <v>Abdeckblech Laufwerksschacht AESCU.certus² UKF</v>
          </cell>
          <cell r="C2019">
            <v>0</v>
          </cell>
          <cell r="D2019">
            <v>5.35</v>
          </cell>
        </row>
        <row r="2020">
          <cell r="A2020" t="str">
            <v>3030052M</v>
          </cell>
          <cell r="B2020" t="str">
            <v>Innenblech für AESCU.certus² UKF</v>
          </cell>
          <cell r="C2020">
            <v>0</v>
          </cell>
          <cell r="D2020">
            <v>18.25</v>
          </cell>
        </row>
        <row r="2021">
          <cell r="A2021" t="str">
            <v>3030053M</v>
          </cell>
          <cell r="B2021" t="str">
            <v>Gehäuse Unterteil für AESCU.certus² UKF</v>
          </cell>
          <cell r="C2021">
            <v>0</v>
          </cell>
          <cell r="D2021">
            <v>67.599999999999994</v>
          </cell>
        </row>
        <row r="2022">
          <cell r="A2022" t="str">
            <v>3030054M</v>
          </cell>
          <cell r="B2022" t="str">
            <v>Träger für Wechselrahmen DeLock AESCU.certus² UKF</v>
          </cell>
          <cell r="C2022">
            <v>0</v>
          </cell>
          <cell r="D2022">
            <v>4.75</v>
          </cell>
        </row>
        <row r="2023">
          <cell r="A2023" t="str">
            <v>3030055M</v>
          </cell>
          <cell r="B2023" t="str">
            <v>RS232 Aufnahme für ES&amp;S-Isol. COM3-COM6</v>
          </cell>
          <cell r="C2023">
            <v>44</v>
          </cell>
          <cell r="D2023">
            <v>18.3</v>
          </cell>
        </row>
        <row r="2024">
          <cell r="A2024" t="str">
            <v>3030056M</v>
          </cell>
          <cell r="B2024" t="str">
            <v>Gehäuse THA.leia² 21.5" Panel PC</v>
          </cell>
          <cell r="C2024">
            <v>0</v>
          </cell>
          <cell r="D2024">
            <v>441.3</v>
          </cell>
        </row>
        <row r="2025">
          <cell r="A2025">
            <v>3030057</v>
          </cell>
          <cell r="B2025" t="str">
            <v>MAGiC LCD 150BM TCO99</v>
          </cell>
          <cell r="C2025">
            <v>0</v>
          </cell>
          <cell r="D2025">
            <v>155</v>
          </cell>
        </row>
        <row r="2026">
          <cell r="A2026" t="str">
            <v>3030057M</v>
          </cell>
          <cell r="B2026" t="str">
            <v>Frontplatte mit Frontfolie 20205520</v>
          </cell>
          <cell r="C2026">
            <v>245</v>
          </cell>
          <cell r="D2026">
            <v>41.34</v>
          </cell>
        </row>
        <row r="2027">
          <cell r="A2027" t="str">
            <v>3030058M</v>
          </cell>
          <cell r="B2027" t="str">
            <v>Frontplatte mit Frontfolie 20205720</v>
          </cell>
          <cell r="C2027">
            <v>0</v>
          </cell>
          <cell r="D2027">
            <v>0</v>
          </cell>
        </row>
        <row r="2028">
          <cell r="A2028" t="str">
            <v>3030059M</v>
          </cell>
          <cell r="B2028" t="str">
            <v>Frontplatte mit Frontfolie 20205820</v>
          </cell>
          <cell r="C2028">
            <v>0</v>
          </cell>
          <cell r="D2028">
            <v>0</v>
          </cell>
        </row>
        <row r="2029">
          <cell r="A2029" t="str">
            <v>3030060M</v>
          </cell>
          <cell r="B2029" t="str">
            <v>Gehäuse AMD G3</v>
          </cell>
          <cell r="C2029">
            <v>2</v>
          </cell>
          <cell r="D2029">
            <v>990</v>
          </cell>
        </row>
        <row r="2030">
          <cell r="A2030" t="str">
            <v>3030061M</v>
          </cell>
          <cell r="B2030" t="str">
            <v>Gehäuse AMD G3 Innenmantel</v>
          </cell>
          <cell r="C2030">
            <v>4</v>
          </cell>
          <cell r="D2030">
            <v>490</v>
          </cell>
        </row>
        <row r="2031">
          <cell r="A2031" t="str">
            <v>3030062M</v>
          </cell>
          <cell r="B2031" t="str">
            <v>Gehäuse AMD G3 Tastatur kpl.</v>
          </cell>
          <cell r="C2031">
            <v>8</v>
          </cell>
          <cell r="D2031">
            <v>133.9</v>
          </cell>
        </row>
        <row r="2032">
          <cell r="A2032" t="str">
            <v>3030063M</v>
          </cell>
          <cell r="B2032" t="str">
            <v>Gehäuse AMD G3 Monitor kpl.</v>
          </cell>
          <cell r="C2032">
            <v>8</v>
          </cell>
          <cell r="D2032">
            <v>32.5</v>
          </cell>
        </row>
        <row r="2033">
          <cell r="A2033" t="str">
            <v>3030064M</v>
          </cell>
          <cell r="B2033" t="str">
            <v>Gehäuse AMD G3 CD Blindcover</v>
          </cell>
          <cell r="C2033">
            <v>8</v>
          </cell>
          <cell r="D2033">
            <v>8.3000000000000007</v>
          </cell>
        </row>
        <row r="2034">
          <cell r="A2034" t="str">
            <v>3030065M</v>
          </cell>
          <cell r="B2034" t="str">
            <v>Gehäuse AMD G3 USB Kabeladapter</v>
          </cell>
          <cell r="C2034">
            <v>17</v>
          </cell>
          <cell r="D2034">
            <v>5.4</v>
          </cell>
        </row>
        <row r="2035">
          <cell r="A2035" t="str">
            <v>3030066M</v>
          </cell>
          <cell r="B2035" t="str">
            <v>Frontplatte blank AIDA HD connect PANASONIC UJ265</v>
          </cell>
          <cell r="C2035">
            <v>154</v>
          </cell>
          <cell r="D2035">
            <v>24.5</v>
          </cell>
        </row>
        <row r="2036">
          <cell r="A2036" t="str">
            <v>3030067M</v>
          </cell>
          <cell r="B2036" t="str">
            <v>Frontfolie AIDA HD connect 20205520 PANASONIC</v>
          </cell>
          <cell r="C2036">
            <v>0</v>
          </cell>
          <cell r="D2036">
            <v>14.9</v>
          </cell>
        </row>
        <row r="2037">
          <cell r="A2037" t="str">
            <v>3030068M</v>
          </cell>
          <cell r="B2037" t="str">
            <v>Frontplatte mit Frontfolie OR1 Fusion control</v>
          </cell>
          <cell r="C2037">
            <v>319</v>
          </cell>
          <cell r="D2037">
            <v>60.93</v>
          </cell>
        </row>
        <row r="2038">
          <cell r="A2038" t="str">
            <v>3030069M</v>
          </cell>
          <cell r="B2038" t="str">
            <v>Gehäuse THA.leia 21.5" Panel PC Vers. 2</v>
          </cell>
          <cell r="C2038">
            <v>0</v>
          </cell>
          <cell r="D2038">
            <v>385.7</v>
          </cell>
        </row>
        <row r="2039">
          <cell r="A2039" t="str">
            <v>3030070M</v>
          </cell>
          <cell r="B2039" t="str">
            <v>Gehäuse PANA.ceia² MCD Vers. 2</v>
          </cell>
          <cell r="C2039">
            <v>20</v>
          </cell>
          <cell r="D2039">
            <v>110</v>
          </cell>
        </row>
        <row r="2040">
          <cell r="A2040">
            <v>3030071</v>
          </cell>
          <cell r="B2040" t="str">
            <v>LCD 19" 900P</v>
          </cell>
          <cell r="C2040">
            <v>0</v>
          </cell>
          <cell r="D2040">
            <v>189</v>
          </cell>
        </row>
        <row r="2041">
          <cell r="A2041" t="str">
            <v>3030071M</v>
          </cell>
          <cell r="B2041" t="str">
            <v>Gehäuse PANA.ceia² - Schiller Vers. 2</v>
          </cell>
          <cell r="C2041">
            <v>1</v>
          </cell>
          <cell r="D2041">
            <v>110</v>
          </cell>
        </row>
        <row r="2042">
          <cell r="A2042" t="str">
            <v>3030072M</v>
          </cell>
          <cell r="B2042" t="str">
            <v>Gehäuse PANA.ceia² Neutral- ohne Bedruckung Vers.2</v>
          </cell>
          <cell r="C2042">
            <v>12</v>
          </cell>
          <cell r="D2042">
            <v>110</v>
          </cell>
        </row>
        <row r="2043">
          <cell r="A2043" t="str">
            <v>3030073M</v>
          </cell>
          <cell r="B2043" t="str">
            <v>Gehäuse Deckel PANA.ceia MKT</v>
          </cell>
          <cell r="C2043">
            <v>5</v>
          </cell>
          <cell r="D2043">
            <v>88.4</v>
          </cell>
        </row>
        <row r="2044">
          <cell r="A2044" t="str">
            <v>3030074M</v>
          </cell>
          <cell r="B2044" t="str">
            <v>Frontfolie AIDA control NEO V2</v>
          </cell>
          <cell r="C2044">
            <v>0</v>
          </cell>
          <cell r="D2044">
            <v>17.7</v>
          </cell>
        </row>
        <row r="2045">
          <cell r="A2045" t="str">
            <v>3030075M</v>
          </cell>
          <cell r="B2045" t="str">
            <v>Frontplatte Karl Storz AIDA control Komplett V2</v>
          </cell>
          <cell r="C2045">
            <v>339</v>
          </cell>
          <cell r="D2045">
            <v>40.47</v>
          </cell>
        </row>
        <row r="2046">
          <cell r="A2046" t="str">
            <v>3030076M</v>
          </cell>
          <cell r="B2046" t="str">
            <v>Einbaurahmen (USV Einbau in Universalblech1)</v>
          </cell>
          <cell r="C2046">
            <v>0</v>
          </cell>
          <cell r="D2046">
            <v>7</v>
          </cell>
        </row>
        <row r="2047">
          <cell r="A2047">
            <v>3030077</v>
          </cell>
          <cell r="B2047" t="str">
            <v>MAGiC LCD 170BM TCO99 8ms</v>
          </cell>
          <cell r="C2047">
            <v>0</v>
          </cell>
          <cell r="D2047">
            <v>159</v>
          </cell>
        </row>
        <row r="2048">
          <cell r="A2048" t="str">
            <v>3030077M</v>
          </cell>
          <cell r="B2048" t="str">
            <v>Gehäuse THA.leia 19" Vers. 2.0</v>
          </cell>
          <cell r="C2048">
            <v>0</v>
          </cell>
          <cell r="D2048">
            <v>1900</v>
          </cell>
        </row>
        <row r="2049">
          <cell r="A2049" t="str">
            <v>3030078M</v>
          </cell>
          <cell r="B2049" t="str">
            <v>Frontfolie THA.leia 21,5" / 19"</v>
          </cell>
          <cell r="C2049">
            <v>85</v>
          </cell>
          <cell r="D2049">
            <v>19.95</v>
          </cell>
        </row>
        <row r="2050">
          <cell r="A2050" t="str">
            <v>3030079M</v>
          </cell>
          <cell r="B2050" t="str">
            <v>Einbaurahmen 2.5, Metall, silber, inkl. Schrauben</v>
          </cell>
          <cell r="C2050">
            <v>154</v>
          </cell>
          <cell r="D2050">
            <v>2.25</v>
          </cell>
        </row>
        <row r="2051">
          <cell r="A2051" t="str">
            <v>3030080M</v>
          </cell>
          <cell r="B2051" t="str">
            <v>Gehäuse AMD G3 Vers.2</v>
          </cell>
          <cell r="C2051">
            <v>8</v>
          </cell>
          <cell r="D2051">
            <v>256.56</v>
          </cell>
        </row>
        <row r="2052">
          <cell r="A2052" t="str">
            <v>3030081M</v>
          </cell>
          <cell r="B2052" t="str">
            <v>Gehäuse AMD G3 Innenmantel Vers.2</v>
          </cell>
          <cell r="C2052">
            <v>10</v>
          </cell>
          <cell r="D2052">
            <v>64.14</v>
          </cell>
        </row>
        <row r="2053">
          <cell r="A2053">
            <v>3030082</v>
          </cell>
          <cell r="B2053" t="str">
            <v>MAGiC LCD 190BV Silver-Line TCO03 8ms</v>
          </cell>
          <cell r="C2053">
            <v>0</v>
          </cell>
          <cell r="D2053">
            <v>179</v>
          </cell>
        </row>
        <row r="2054">
          <cell r="A2054" t="str">
            <v>3030082M</v>
          </cell>
          <cell r="B2054" t="str">
            <v>Gehäuse Unterteil AECSU.certus01 mit Isol. RS232</v>
          </cell>
          <cell r="C2054">
            <v>1</v>
          </cell>
          <cell r="D2054">
            <v>115.75</v>
          </cell>
        </row>
        <row r="2055">
          <cell r="A2055">
            <v>3030083</v>
          </cell>
          <cell r="B2055" t="str">
            <v>THA.leia 21,5" Gehäuse</v>
          </cell>
          <cell r="C2055">
            <v>0</v>
          </cell>
          <cell r="D2055">
            <v>582.4</v>
          </cell>
        </row>
        <row r="2056">
          <cell r="A2056" t="str">
            <v>3030083M</v>
          </cell>
          <cell r="B2056" t="str">
            <v>Gehäuse THA.leia 21.5" Panel PC V3</v>
          </cell>
          <cell r="C2056">
            <v>10</v>
          </cell>
          <cell r="D2056">
            <v>371.65</v>
          </cell>
        </row>
        <row r="2057">
          <cell r="A2057" t="str">
            <v>3030084M</v>
          </cell>
          <cell r="B2057" t="str">
            <v>Gehäuse Remote Box KST</v>
          </cell>
          <cell r="C2057">
            <v>63</v>
          </cell>
          <cell r="D2057">
            <v>69.2</v>
          </cell>
        </row>
        <row r="2058">
          <cell r="A2058" t="str">
            <v>3030085M</v>
          </cell>
          <cell r="B2058" t="str">
            <v>Frontpl. blank  AIDA HD Connect PANASONIC ohne USB</v>
          </cell>
          <cell r="C2058">
            <v>0</v>
          </cell>
          <cell r="D2058">
            <v>39.700000000000003</v>
          </cell>
        </row>
        <row r="2059">
          <cell r="A2059" t="str">
            <v>3030086M</v>
          </cell>
          <cell r="B2059" t="str">
            <v>Frontfolie 20205820 PANASONIC</v>
          </cell>
          <cell r="C2059">
            <v>0</v>
          </cell>
          <cell r="D2059">
            <v>49.8</v>
          </cell>
        </row>
        <row r="2060">
          <cell r="A2060">
            <v>3030087</v>
          </cell>
          <cell r="B2060" t="str">
            <v>Neovo LCD X-15 W weiß RAL9002</v>
          </cell>
          <cell r="C2060">
            <v>0</v>
          </cell>
          <cell r="D2060">
            <v>272</v>
          </cell>
        </row>
        <row r="2061">
          <cell r="A2061" t="str">
            <v>3030087M</v>
          </cell>
          <cell r="B2061" t="str">
            <v>Gehäuse AC3 Halteblech Innenteil</v>
          </cell>
          <cell r="C2061">
            <v>0</v>
          </cell>
          <cell r="D2061">
            <v>0</v>
          </cell>
        </row>
        <row r="2062">
          <cell r="A2062" t="str">
            <v>3030089M</v>
          </cell>
          <cell r="B2062" t="str">
            <v>Gehäuse AC3 Folientastatur MCD</v>
          </cell>
          <cell r="C2062">
            <v>0</v>
          </cell>
          <cell r="D2062">
            <v>10</v>
          </cell>
        </row>
        <row r="2063">
          <cell r="A2063" t="str">
            <v>3030090M</v>
          </cell>
          <cell r="B2063" t="str">
            <v>Gehäuse PANA.ceia² MCD - Basis Gehäuse</v>
          </cell>
          <cell r="C2063">
            <v>0</v>
          </cell>
          <cell r="D2063">
            <v>132</v>
          </cell>
        </row>
        <row r="2064">
          <cell r="A2064" t="str">
            <v>3030091M</v>
          </cell>
          <cell r="B2064" t="str">
            <v>Gehäuse PANA.ceia² Schiller - Basis Gehäuse</v>
          </cell>
          <cell r="C2064">
            <v>0</v>
          </cell>
          <cell r="D2064">
            <v>132</v>
          </cell>
        </row>
        <row r="2065">
          <cell r="A2065" t="str">
            <v>3030092M</v>
          </cell>
          <cell r="B2065" t="str">
            <v>Gehäuse PANA.ceia² Neutral - Basis Gehäuse</v>
          </cell>
          <cell r="C2065">
            <v>0</v>
          </cell>
          <cell r="D2065">
            <v>132</v>
          </cell>
        </row>
        <row r="2066">
          <cell r="A2066" t="str">
            <v>3030093M</v>
          </cell>
          <cell r="B2066" t="str">
            <v>Gehäuse PANA.ceia² Blindplatte DVD</v>
          </cell>
          <cell r="C2066">
            <v>0</v>
          </cell>
          <cell r="D2066">
            <v>5.95</v>
          </cell>
        </row>
        <row r="2067">
          <cell r="A2067" t="str">
            <v>3030094M</v>
          </cell>
          <cell r="B2067" t="str">
            <v>Gehäuse PANA.ceia² Blindplatte USB</v>
          </cell>
          <cell r="C2067">
            <v>0</v>
          </cell>
          <cell r="D2067">
            <v>2.9</v>
          </cell>
        </row>
        <row r="2068">
          <cell r="A2068">
            <v>3030095</v>
          </cell>
          <cell r="B2068" t="str">
            <v>Neovo LCD E-19 BLACK</v>
          </cell>
          <cell r="C2068">
            <v>0</v>
          </cell>
          <cell r="D2068">
            <v>192</v>
          </cell>
        </row>
        <row r="2069">
          <cell r="A2069" t="str">
            <v>3030095M</v>
          </cell>
          <cell r="B2069" t="str">
            <v>Gehäuse PANA.ceia² Blindplatte Gehäuselüfter</v>
          </cell>
          <cell r="C2069">
            <v>0</v>
          </cell>
          <cell r="D2069">
            <v>5.3</v>
          </cell>
        </row>
        <row r="2070">
          <cell r="A2070" t="str">
            <v>3030096M</v>
          </cell>
          <cell r="B2070" t="str">
            <v>Gehäuse PANA.ceia² Blindplatte LCD-P-A</v>
          </cell>
          <cell r="C2070">
            <v>0</v>
          </cell>
          <cell r="D2070">
            <v>1.4</v>
          </cell>
        </row>
        <row r="2071">
          <cell r="A2071">
            <v>3030097</v>
          </cell>
          <cell r="B2071" t="str">
            <v>Neovo LCD X-20 BLACK</v>
          </cell>
          <cell r="C2071">
            <v>0</v>
          </cell>
          <cell r="D2071">
            <v>469</v>
          </cell>
        </row>
        <row r="2072">
          <cell r="A2072" t="str">
            <v>3030097M</v>
          </cell>
          <cell r="B2072" t="str">
            <v>Frontfolie AIDA Fusion WD200</v>
          </cell>
          <cell r="C2072">
            <v>0</v>
          </cell>
          <cell r="D2072">
            <v>59</v>
          </cell>
        </row>
        <row r="2073">
          <cell r="A2073">
            <v>3030098</v>
          </cell>
          <cell r="B2073" t="str">
            <v>Neovo LCD X-19 weiß RAL9002</v>
          </cell>
          <cell r="C2073">
            <v>0</v>
          </cell>
          <cell r="D2073">
            <v>419</v>
          </cell>
        </row>
        <row r="2074">
          <cell r="A2074" t="str">
            <v>3030098M</v>
          </cell>
          <cell r="B2074" t="str">
            <v>Frontfolie AIDA Fusion WD250</v>
          </cell>
          <cell r="C2074">
            <v>0</v>
          </cell>
          <cell r="D2074">
            <v>59</v>
          </cell>
        </row>
        <row r="2075">
          <cell r="A2075">
            <v>3030102</v>
          </cell>
          <cell r="B2075" t="str">
            <v>Neovo LCD E-W19 BLACK wide</v>
          </cell>
          <cell r="C2075">
            <v>0</v>
          </cell>
          <cell r="D2075">
            <v>190</v>
          </cell>
        </row>
        <row r="2076">
          <cell r="A2076">
            <v>3030103</v>
          </cell>
          <cell r="B2076" t="str">
            <v>Neovo LCD X-17 BLACK</v>
          </cell>
          <cell r="C2076">
            <v>0</v>
          </cell>
          <cell r="D2076">
            <v>329</v>
          </cell>
        </row>
        <row r="2077">
          <cell r="A2077">
            <v>3030104</v>
          </cell>
          <cell r="B2077" t="str">
            <v>Neovo LCD X-17 weiß RAL9002</v>
          </cell>
          <cell r="C2077">
            <v>0</v>
          </cell>
          <cell r="D2077">
            <v>349</v>
          </cell>
        </row>
        <row r="2078">
          <cell r="A2078">
            <v>3030105</v>
          </cell>
          <cell r="B2078" t="str">
            <v>Neovo LCD E-17 17", 300cd, 800:1, 3ms (GTG),</v>
          </cell>
          <cell r="C2078">
            <v>0</v>
          </cell>
          <cell r="D2078">
            <v>169</v>
          </cell>
        </row>
        <row r="2079">
          <cell r="A2079">
            <v>3030106</v>
          </cell>
          <cell r="B2079" t="str">
            <v>Neovo LCD E-W22 BLACK wide</v>
          </cell>
          <cell r="C2079">
            <v>0</v>
          </cell>
          <cell r="D2079">
            <v>239</v>
          </cell>
        </row>
        <row r="2080">
          <cell r="A2080">
            <v>3030107</v>
          </cell>
          <cell r="B2080" t="str">
            <v>Neovo LCD X-W19 BLACK wide</v>
          </cell>
          <cell r="C2080">
            <v>0</v>
          </cell>
          <cell r="D2080">
            <v>270</v>
          </cell>
        </row>
        <row r="2081">
          <cell r="A2081">
            <v>3030108</v>
          </cell>
          <cell r="B2081" t="str">
            <v>Neovo LCD X-W22 BLACK wide</v>
          </cell>
          <cell r="C2081">
            <v>0</v>
          </cell>
          <cell r="D2081">
            <v>360</v>
          </cell>
        </row>
        <row r="2082">
          <cell r="A2082">
            <v>3030114</v>
          </cell>
          <cell r="B2082" t="str">
            <v>Neovo LCD X-15 W weiß RAL9002</v>
          </cell>
          <cell r="C2082">
            <v>0</v>
          </cell>
          <cell r="D2082">
            <v>279</v>
          </cell>
        </row>
        <row r="2083">
          <cell r="A2083">
            <v>3030115</v>
          </cell>
          <cell r="B2083" t="str">
            <v>Neovo LCD X-17 weiß RAL9003</v>
          </cell>
          <cell r="C2083">
            <v>0</v>
          </cell>
          <cell r="D2083">
            <v>355</v>
          </cell>
        </row>
        <row r="2084">
          <cell r="A2084">
            <v>3030116</v>
          </cell>
          <cell r="B2084" t="str">
            <v>Neovo LCD X-19 weiß RAL9003</v>
          </cell>
          <cell r="C2084">
            <v>0</v>
          </cell>
          <cell r="D2084">
            <v>419</v>
          </cell>
        </row>
        <row r="2085">
          <cell r="A2085">
            <v>3030117</v>
          </cell>
          <cell r="B2085" t="str">
            <v>Neovo LCD X-19 BLACK</v>
          </cell>
          <cell r="C2085">
            <v>0</v>
          </cell>
          <cell r="D2085">
            <v>399</v>
          </cell>
        </row>
        <row r="2086">
          <cell r="A2086">
            <v>3030118</v>
          </cell>
          <cell r="B2086" t="str">
            <v>Neovo LCD X-17 BLACK</v>
          </cell>
          <cell r="C2086">
            <v>0</v>
          </cell>
          <cell r="D2086">
            <v>325</v>
          </cell>
        </row>
        <row r="2087">
          <cell r="A2087">
            <v>3030119</v>
          </cell>
          <cell r="B2087" t="str">
            <v>Display Neovo LCD X-19 weiß RAL9003</v>
          </cell>
          <cell r="C2087">
            <v>3</v>
          </cell>
          <cell r="D2087">
            <v>375</v>
          </cell>
        </row>
        <row r="2088">
          <cell r="A2088">
            <v>3030133</v>
          </cell>
          <cell r="B2088" t="str">
            <v>TERRA LCD/LED 2440W / MESSEWARE ***</v>
          </cell>
          <cell r="C2088">
            <v>0</v>
          </cell>
          <cell r="D2088">
            <v>89</v>
          </cell>
        </row>
        <row r="2089">
          <cell r="A2089">
            <v>3030149</v>
          </cell>
          <cell r="B2089" t="str">
            <v>Neovo LCD/LED X-22 WHITE Glass</v>
          </cell>
          <cell r="C2089">
            <v>6</v>
          </cell>
          <cell r="D2089">
            <v>439</v>
          </cell>
        </row>
        <row r="2090">
          <cell r="A2090">
            <v>3030151</v>
          </cell>
          <cell r="B2090" t="str">
            <v>Neovo LCD/LED X-24 WHITE Glass</v>
          </cell>
          <cell r="C2090">
            <v>8</v>
          </cell>
          <cell r="D2090">
            <v>499</v>
          </cell>
        </row>
        <row r="2091">
          <cell r="A2091">
            <v>3031107</v>
          </cell>
          <cell r="B2091" t="str">
            <v>19" LCD 1900BC 8ms Business Class TCO99 mit DVI</v>
          </cell>
          <cell r="C2091">
            <v>0</v>
          </cell>
          <cell r="D2091">
            <v>199</v>
          </cell>
        </row>
        <row r="2092">
          <cell r="A2092">
            <v>3031108</v>
          </cell>
          <cell r="B2092" t="str">
            <v>TERRA LCD 1700BC, 17" - 8ms Business TCO99 mit DVI</v>
          </cell>
          <cell r="C2092">
            <v>0</v>
          </cell>
          <cell r="D2092">
            <v>153</v>
          </cell>
        </row>
        <row r="2093">
          <cell r="A2093">
            <v>3031109</v>
          </cell>
          <cell r="B2093" t="str">
            <v>Vision Line TFT 170DT</v>
          </cell>
          <cell r="C2093">
            <v>0</v>
          </cell>
          <cell r="D2093">
            <v>99</v>
          </cell>
        </row>
        <row r="2094">
          <cell r="A2094">
            <v>3031110</v>
          </cell>
          <cell r="B2094" t="str">
            <v>LCD 190DT, 19" - 8ms, TCO 03, DVI</v>
          </cell>
          <cell r="C2094">
            <v>0</v>
          </cell>
          <cell r="D2094">
            <v>135</v>
          </cell>
        </row>
        <row r="2095">
          <cell r="A2095">
            <v>3031116</v>
          </cell>
          <cell r="B2095" t="str">
            <v>LCD 4219, 19" - 8ms, TCO 03, DVI</v>
          </cell>
          <cell r="C2095">
            <v>0</v>
          </cell>
          <cell r="D2095">
            <v>129</v>
          </cell>
        </row>
        <row r="2096">
          <cell r="A2096">
            <v>3031118</v>
          </cell>
          <cell r="B2096" t="str">
            <v>TERRA LCD 1900BC, 19" 5ms, DVI, TCO silber</v>
          </cell>
          <cell r="C2096">
            <v>0</v>
          </cell>
          <cell r="D2096">
            <v>139</v>
          </cell>
        </row>
        <row r="2097">
          <cell r="A2097">
            <v>3031119</v>
          </cell>
          <cell r="B2097" t="str">
            <v xml:space="preserve"> LCD 4219, 19" - 5ms, TCO 03, DVI</v>
          </cell>
          <cell r="C2097">
            <v>0</v>
          </cell>
          <cell r="D2097">
            <v>108</v>
          </cell>
        </row>
        <row r="2098">
          <cell r="A2098">
            <v>3031124</v>
          </cell>
          <cell r="B2098" t="str">
            <v xml:space="preserve"> LCD 6222W, 22" Wide - 5ms, TCO 03, DVI</v>
          </cell>
          <cell r="C2098">
            <v>0</v>
          </cell>
          <cell r="D2098">
            <v>225</v>
          </cell>
        </row>
        <row r="2099">
          <cell r="A2099">
            <v>3031125</v>
          </cell>
          <cell r="B2099" t="str">
            <v>TERRA LCD 170DT, 17" 5ms, DVI, TCO grau***</v>
          </cell>
          <cell r="C2099">
            <v>0</v>
          </cell>
          <cell r="D2099">
            <v>115</v>
          </cell>
        </row>
        <row r="2100">
          <cell r="A2100">
            <v>3031126</v>
          </cell>
          <cell r="B2100" t="str">
            <v>TERRA LCD 190DT, 19" - 5ms, TCO 03, DVI, grau</v>
          </cell>
          <cell r="C2100">
            <v>0</v>
          </cell>
          <cell r="D2100">
            <v>135</v>
          </cell>
        </row>
        <row r="2101">
          <cell r="A2101">
            <v>3031131</v>
          </cell>
          <cell r="B2101" t="str">
            <v>TERRA LCD 5222W, 22" 5ms,TCO06 anthrazit</v>
          </cell>
          <cell r="C2101">
            <v>0</v>
          </cell>
          <cell r="D2101">
            <v>119</v>
          </cell>
        </row>
        <row r="2102">
          <cell r="A2102">
            <v>3031144</v>
          </cell>
          <cell r="B2102" t="str">
            <v>TERRA LCD 190DT, 19" 5ms, DVI, TCO grau</v>
          </cell>
          <cell r="C2102">
            <v>0</v>
          </cell>
          <cell r="D2102">
            <v>129</v>
          </cell>
        </row>
        <row r="2103">
          <cell r="A2103">
            <v>3031146</v>
          </cell>
          <cell r="B2103" t="str">
            <v>TERRA LCD 6222W 22" 5ms, DVI,TCO06, schwarz</v>
          </cell>
          <cell r="C2103">
            <v>0</v>
          </cell>
          <cell r="D2103">
            <v>115</v>
          </cell>
        </row>
        <row r="2104">
          <cell r="A2104">
            <v>3031150</v>
          </cell>
          <cell r="B2104" t="str">
            <v>TERRA LCD 6216W GREENLINE PLUS 21.6" HDMI silv/bla</v>
          </cell>
          <cell r="C2104">
            <v>0</v>
          </cell>
          <cell r="D2104">
            <v>99</v>
          </cell>
        </row>
        <row r="2105">
          <cell r="A2105">
            <v>3031153</v>
          </cell>
          <cell r="B2105" t="str">
            <v>TERRA LCD 4319 GREENLINE PLUS 19" DVI silver/black</v>
          </cell>
          <cell r="C2105">
            <v>0</v>
          </cell>
          <cell r="D2105">
            <v>103</v>
          </cell>
        </row>
        <row r="2106">
          <cell r="A2106">
            <v>3031157</v>
          </cell>
          <cell r="B2106" t="str">
            <v>TERRA LCD 4319 GREENLINE  19" DVI silver/black</v>
          </cell>
          <cell r="C2106">
            <v>0</v>
          </cell>
          <cell r="D2106">
            <v>115</v>
          </cell>
        </row>
        <row r="2107">
          <cell r="A2107">
            <v>3031160</v>
          </cell>
          <cell r="B2107" t="str">
            <v>TERRA LCD 6522W GREENLINE  22" DVI silver/black</v>
          </cell>
          <cell r="C2107">
            <v>0</v>
          </cell>
          <cell r="D2107">
            <v>129</v>
          </cell>
        </row>
        <row r="2108">
          <cell r="A2108">
            <v>3031166</v>
          </cell>
          <cell r="B2108" t="str">
            <v>TERRA LCD/LED 2260W GREENLINE PLUS piano black</v>
          </cell>
          <cell r="C2108">
            <v>0</v>
          </cell>
          <cell r="D2108">
            <v>119</v>
          </cell>
        </row>
        <row r="2109">
          <cell r="A2109">
            <v>3031175</v>
          </cell>
          <cell r="B2109" t="str">
            <v>Display 19" 4319</v>
          </cell>
          <cell r="C2109">
            <v>1</v>
          </cell>
          <cell r="D2109">
            <v>117.44</v>
          </cell>
        </row>
        <row r="2110">
          <cell r="A2110">
            <v>3031178</v>
          </cell>
          <cell r="B2110" t="str">
            <v>TERRA LCD/LED 2440W GREENLINE PLUS piano black</v>
          </cell>
          <cell r="C2110">
            <v>0</v>
          </cell>
          <cell r="D2110">
            <v>130</v>
          </cell>
        </row>
        <row r="2111">
          <cell r="A2111">
            <v>3031180</v>
          </cell>
          <cell r="B2111" t="str">
            <v>TERRA LCD 2210W GREENLINE 21.5" piano black</v>
          </cell>
          <cell r="C2111">
            <v>0</v>
          </cell>
          <cell r="D2111">
            <v>79</v>
          </cell>
        </row>
        <row r="2112">
          <cell r="A2112">
            <v>3031182</v>
          </cell>
          <cell r="B2112" t="str">
            <v>TERRA LCD/LED 2450W GREENLINE PLUS piano black</v>
          </cell>
          <cell r="C2112">
            <v>0</v>
          </cell>
          <cell r="D2112">
            <v>109</v>
          </cell>
        </row>
        <row r="2113">
          <cell r="A2113">
            <v>3031188</v>
          </cell>
          <cell r="B2113" t="str">
            <v>TERRA LCD/LED 2760W GREENLINE PLUS piano black</v>
          </cell>
          <cell r="C2113">
            <v>0</v>
          </cell>
          <cell r="D2113">
            <v>209</v>
          </cell>
        </row>
        <row r="2114">
          <cell r="A2114">
            <v>3031189</v>
          </cell>
          <cell r="B2114" t="str">
            <v>TERRA LCD/LED 2250W GREENLINE PLUS piano black</v>
          </cell>
          <cell r="C2114">
            <v>0</v>
          </cell>
          <cell r="D2114">
            <v>95</v>
          </cell>
        </row>
        <row r="2115">
          <cell r="A2115">
            <v>3031192</v>
          </cell>
          <cell r="B2115" t="str">
            <v>TERRA LCD/LED 2455W GREENLINE PLUS 23.6" black</v>
          </cell>
          <cell r="C2115">
            <v>0</v>
          </cell>
          <cell r="D2115">
            <v>125</v>
          </cell>
        </row>
        <row r="2116">
          <cell r="A2116">
            <v>3031193</v>
          </cell>
          <cell r="B2116" t="str">
            <v>TERRA LCD/LED 2255W PV GREENLINE PLUS piano black</v>
          </cell>
          <cell r="C2116">
            <v>0</v>
          </cell>
          <cell r="D2116">
            <v>129</v>
          </cell>
        </row>
        <row r="2117">
          <cell r="A2117">
            <v>3031196</v>
          </cell>
          <cell r="B2117" t="str">
            <v>Display 22" 2230W weiss</v>
          </cell>
          <cell r="C2117">
            <v>0</v>
          </cell>
          <cell r="D2117">
            <v>129</v>
          </cell>
        </row>
        <row r="2118">
          <cell r="A2118" t="str">
            <v>3031197M</v>
          </cell>
          <cell r="B2118" t="str">
            <v>Gehäuse Blechsatz AESCU.certus 3</v>
          </cell>
          <cell r="C2118">
            <v>0</v>
          </cell>
          <cell r="D2118">
            <v>790.65</v>
          </cell>
        </row>
        <row r="2119">
          <cell r="A2119" t="str">
            <v>3031198M</v>
          </cell>
          <cell r="B2119" t="str">
            <v>THA.leia 19" / 21,5" Heatpipe, vernickelt</v>
          </cell>
          <cell r="C2119">
            <v>73</v>
          </cell>
          <cell r="D2119">
            <v>5.67</v>
          </cell>
        </row>
        <row r="2120">
          <cell r="A2120">
            <v>3031205</v>
          </cell>
          <cell r="B2120" t="str">
            <v>Terra LCD/LED 2480W 24" Touch/MVA, black</v>
          </cell>
          <cell r="C2120">
            <v>0</v>
          </cell>
          <cell r="D2120">
            <v>329</v>
          </cell>
        </row>
        <row r="2121">
          <cell r="A2121" t="str">
            <v>3040001M</v>
          </cell>
          <cell r="B2121" t="str">
            <v>VEIO.vis Frontblende</v>
          </cell>
          <cell r="C2121">
            <v>0</v>
          </cell>
          <cell r="D2121">
            <v>47.2</v>
          </cell>
        </row>
        <row r="2122">
          <cell r="A2122" t="str">
            <v>3040002M</v>
          </cell>
          <cell r="B2122" t="str">
            <v>Adapterplatte AESCU.certus DC Binder</v>
          </cell>
          <cell r="C2122">
            <v>0</v>
          </cell>
          <cell r="D2122">
            <v>15</v>
          </cell>
        </row>
        <row r="2123">
          <cell r="A2123" t="str">
            <v>3040003M</v>
          </cell>
          <cell r="B2123" t="str">
            <v>GEH-01, Unterschale, AIDA HD, Alodine 400</v>
          </cell>
          <cell r="C2123">
            <v>0</v>
          </cell>
          <cell r="D2123">
            <v>198</v>
          </cell>
        </row>
        <row r="2124">
          <cell r="A2124" t="str">
            <v>3040004M</v>
          </cell>
          <cell r="B2124" t="str">
            <v>GEH-01, Unterschale, AIDA HD, Sur Tec 650</v>
          </cell>
          <cell r="C2124">
            <v>0</v>
          </cell>
          <cell r="D2124">
            <v>198</v>
          </cell>
        </row>
        <row r="2125">
          <cell r="A2125" t="str">
            <v>3040005M</v>
          </cell>
          <cell r="B2125" t="str">
            <v>SMS-01, Rail Right, AIDA HD, Alodin 400</v>
          </cell>
          <cell r="C2125">
            <v>0</v>
          </cell>
          <cell r="D2125">
            <v>35</v>
          </cell>
        </row>
        <row r="2126">
          <cell r="A2126" t="str">
            <v>3040006M</v>
          </cell>
          <cell r="B2126" t="str">
            <v>SMS-01, Rail Right, AIDA HD, Sur Tec 650</v>
          </cell>
          <cell r="C2126">
            <v>0</v>
          </cell>
          <cell r="D2126">
            <v>35</v>
          </cell>
        </row>
        <row r="2127">
          <cell r="A2127" t="str">
            <v>3040007M</v>
          </cell>
          <cell r="B2127" t="str">
            <v>CD/DVD Halter für PANA.ceia</v>
          </cell>
          <cell r="C2127">
            <v>0</v>
          </cell>
          <cell r="D2127">
            <v>7.55</v>
          </cell>
        </row>
        <row r="2128">
          <cell r="A2128" t="str">
            <v>3040008M</v>
          </cell>
          <cell r="B2128" t="str">
            <v>HDD Halter für PANA.ceia</v>
          </cell>
          <cell r="C2128">
            <v>0</v>
          </cell>
          <cell r="D2128">
            <v>6.8</v>
          </cell>
        </row>
        <row r="2129">
          <cell r="A2129" t="str">
            <v>3040009M</v>
          </cell>
          <cell r="B2129" t="str">
            <v>EMV Blech AMD ClinScanner</v>
          </cell>
          <cell r="C2129">
            <v>0</v>
          </cell>
          <cell r="D2129">
            <v>7.3</v>
          </cell>
        </row>
        <row r="2130">
          <cell r="A2130" t="str">
            <v>3040010M</v>
          </cell>
          <cell r="B2130" t="str">
            <v>Rückwand VESA100 IPC190</v>
          </cell>
          <cell r="C2130">
            <v>0</v>
          </cell>
          <cell r="D2130">
            <v>84</v>
          </cell>
        </row>
        <row r="2131">
          <cell r="A2131" t="str">
            <v>3040011M</v>
          </cell>
          <cell r="B2131" t="str">
            <v>Adapterplatine 100mm 2 seitige  PCIe Stecksockel</v>
          </cell>
          <cell r="C2131">
            <v>0</v>
          </cell>
          <cell r="D2131">
            <v>99</v>
          </cell>
        </row>
        <row r="2132">
          <cell r="A2132" t="str">
            <v>3040012M</v>
          </cell>
          <cell r="B2132" t="str">
            <v>Bar Adaptor Display</v>
          </cell>
          <cell r="C2132">
            <v>1139</v>
          </cell>
          <cell r="D2132">
            <v>4.95</v>
          </cell>
        </row>
        <row r="2133">
          <cell r="A2133" t="str">
            <v>3050001M</v>
          </cell>
          <cell r="B2133" t="str">
            <v>Radisys JD35Q ATX Dual GBE /RC/FCA Hillsboro</v>
          </cell>
          <cell r="C2133">
            <v>0</v>
          </cell>
          <cell r="D2133">
            <v>170</v>
          </cell>
        </row>
        <row r="2134">
          <cell r="A2134" t="str">
            <v>3050002M</v>
          </cell>
          <cell r="B2134" t="str">
            <v>DVI-ACP G5M100-N Systemboard LCD-PC</v>
          </cell>
          <cell r="C2134">
            <v>0</v>
          </cell>
          <cell r="D2134">
            <v>0</v>
          </cell>
        </row>
        <row r="2135">
          <cell r="A2135" t="str">
            <v>3050003M</v>
          </cell>
          <cell r="B2135" t="str">
            <v>Radisys PL35Q UATX VGA,DVI,S-Video RC</v>
          </cell>
          <cell r="C2135">
            <v>0</v>
          </cell>
          <cell r="D2135">
            <v>174.38</v>
          </cell>
        </row>
        <row r="2136">
          <cell r="A2136" t="str">
            <v>3050004M</v>
          </cell>
          <cell r="B2136" t="str">
            <v>Board ATX Intel i955 - FUJSIE - D2178-A</v>
          </cell>
          <cell r="C2136">
            <v>0</v>
          </cell>
          <cell r="D2136">
            <v>49</v>
          </cell>
        </row>
        <row r="2137">
          <cell r="A2137" t="str">
            <v>3050005M</v>
          </cell>
          <cell r="B2137" t="str">
            <v>KTQ45/Flex Kontron Mainboard</v>
          </cell>
          <cell r="C2137">
            <v>0</v>
          </cell>
          <cell r="D2137">
            <v>250</v>
          </cell>
        </row>
        <row r="2138">
          <cell r="A2138" t="str">
            <v>3050006M</v>
          </cell>
          <cell r="B2138" t="str">
            <v>Fujitsu Mainboard D-2778A</v>
          </cell>
          <cell r="C2138">
            <v>0</v>
          </cell>
          <cell r="D2138">
            <v>207</v>
          </cell>
        </row>
        <row r="2139">
          <cell r="A2139" t="str">
            <v>3050007M</v>
          </cell>
          <cell r="B2139" t="str">
            <v>IP-4GVI83, ATX Mainboard</v>
          </cell>
          <cell r="C2139">
            <v>0</v>
          </cell>
          <cell r="D2139">
            <v>168</v>
          </cell>
        </row>
        <row r="2140">
          <cell r="A2140" t="str">
            <v>3050008M</v>
          </cell>
          <cell r="B2140" t="str">
            <v>Radisys PL35Q UATX VGA,DVI,S-Video RC</v>
          </cell>
          <cell r="C2140">
            <v>0</v>
          </cell>
          <cell r="D2140">
            <v>174.64</v>
          </cell>
        </row>
        <row r="2141">
          <cell r="A2141" t="str">
            <v>3050009M</v>
          </cell>
          <cell r="B2141" t="str">
            <v>KTQM67/mITX- 3 GB LAN AMT 7.0 Kontron Mainboard</v>
          </cell>
          <cell r="C2141">
            <v>0</v>
          </cell>
          <cell r="D2141">
            <v>258</v>
          </cell>
        </row>
        <row r="2142">
          <cell r="A2142" t="str">
            <v>3050010M</v>
          </cell>
          <cell r="B2142" t="str">
            <v>KTQM67/FLEX- 3 GB LAN AMT 7.0 Kontron Mainboard</v>
          </cell>
          <cell r="C2142">
            <v>1</v>
          </cell>
          <cell r="D2142">
            <v>271</v>
          </cell>
        </row>
        <row r="2143">
          <cell r="A2143" t="str">
            <v>3050011M</v>
          </cell>
          <cell r="B2143" t="str">
            <v>DFI MB mini-tix, QM67, 2xDDR</v>
          </cell>
          <cell r="C2143">
            <v>1</v>
          </cell>
          <cell r="D2143">
            <v>169</v>
          </cell>
        </row>
        <row r="2144">
          <cell r="A2144" t="str">
            <v>3050012M</v>
          </cell>
          <cell r="B2144" t="str">
            <v>DFI Intel H61 microATX Board</v>
          </cell>
          <cell r="C2144">
            <v>0</v>
          </cell>
          <cell r="D2144">
            <v>151.18</v>
          </cell>
        </row>
        <row r="2145">
          <cell r="A2145" t="str">
            <v>3050013M</v>
          </cell>
          <cell r="B2145" t="str">
            <v>Mainboard DFI SB331-IPM / micro ATX</v>
          </cell>
          <cell r="C2145">
            <v>81</v>
          </cell>
          <cell r="D2145">
            <v>172.03</v>
          </cell>
        </row>
        <row r="2146">
          <cell r="A2146" t="str">
            <v>3050014M</v>
          </cell>
          <cell r="B2146" t="str">
            <v>Board BCM IX945GSE-LV24</v>
          </cell>
          <cell r="C2146">
            <v>0</v>
          </cell>
          <cell r="D2146">
            <v>200</v>
          </cell>
        </row>
        <row r="2147">
          <cell r="A2147" t="str">
            <v>3050015M</v>
          </cell>
          <cell r="B2147" t="str">
            <v>Mainboard DFI CR100-CRM</v>
          </cell>
          <cell r="C2147">
            <v>11</v>
          </cell>
          <cell r="D2147">
            <v>173.46</v>
          </cell>
        </row>
        <row r="2148">
          <cell r="A2148" t="str">
            <v>3050016M</v>
          </cell>
          <cell r="B2148" t="str">
            <v>Mainboard DFI CR101-D</v>
          </cell>
          <cell r="C2148">
            <v>0</v>
          </cell>
          <cell r="D2148">
            <v>159</v>
          </cell>
        </row>
        <row r="2149">
          <cell r="A2149" t="str">
            <v>3050017M</v>
          </cell>
          <cell r="B2149" t="str">
            <v>Mainboard Kontron 986LCD-M/Flex Rev. 15</v>
          </cell>
          <cell r="C2149">
            <v>391</v>
          </cell>
          <cell r="D2149">
            <v>152.06</v>
          </cell>
        </row>
        <row r="2150">
          <cell r="A2150" t="str">
            <v>3050018M</v>
          </cell>
          <cell r="B2150" t="str">
            <v>Mainboard Kontron 886LCD-M/Flex, Rev. 18</v>
          </cell>
          <cell r="C2150">
            <v>0</v>
          </cell>
          <cell r="D2150">
            <v>237.14</v>
          </cell>
        </row>
        <row r="2151">
          <cell r="A2151" t="str">
            <v>3050019M</v>
          </cell>
          <cell r="B2151" t="str">
            <v>Mainboard Mini-ITX  DFI HD100-H81</v>
          </cell>
          <cell r="C2151">
            <v>0</v>
          </cell>
          <cell r="D2151">
            <v>152.71</v>
          </cell>
        </row>
        <row r="2152">
          <cell r="A2152" t="str">
            <v>3100001M</v>
          </cell>
          <cell r="B2152" t="str">
            <v>Matrox Solios Framegrabber Karte</v>
          </cell>
          <cell r="C2152">
            <v>0</v>
          </cell>
          <cell r="D2152">
            <v>330</v>
          </cell>
        </row>
        <row r="2153">
          <cell r="A2153" t="str">
            <v>3100002M</v>
          </cell>
          <cell r="B2153" t="str">
            <v>Matrox MED2mp Grafikkarte</v>
          </cell>
          <cell r="C2153">
            <v>0</v>
          </cell>
          <cell r="D2153">
            <v>820</v>
          </cell>
        </row>
        <row r="2154">
          <cell r="A2154" t="str">
            <v>3100003M</v>
          </cell>
          <cell r="B2154" t="str">
            <v>VGA Sparkle GeForce AGP 128MB FX-5200</v>
          </cell>
          <cell r="C2154">
            <v>0</v>
          </cell>
          <cell r="D2154">
            <v>29</v>
          </cell>
        </row>
        <row r="2155">
          <cell r="A2155" t="str">
            <v>3100004M</v>
          </cell>
          <cell r="B2155" t="str">
            <v>Decklink HD Extreme 3</v>
          </cell>
          <cell r="C2155">
            <v>0</v>
          </cell>
          <cell r="D2155">
            <v>0</v>
          </cell>
        </row>
        <row r="2156">
          <cell r="A2156" t="str">
            <v>3100005M</v>
          </cell>
          <cell r="B2156" t="str">
            <v>ATI RADEON HD4850 512MB PCI-E 2xDVI</v>
          </cell>
          <cell r="C2156">
            <v>0</v>
          </cell>
          <cell r="D2156">
            <v>80</v>
          </cell>
        </row>
        <row r="2157">
          <cell r="A2157" t="str">
            <v>3100006M</v>
          </cell>
          <cell r="B2157" t="str">
            <v>PCI Spare Kit WIN XP 2 MP Solaris</v>
          </cell>
          <cell r="C2157">
            <v>0</v>
          </cell>
          <cell r="D2157">
            <v>1073.54</v>
          </cell>
        </row>
        <row r="2158">
          <cell r="A2158" t="str">
            <v>3100007M</v>
          </cell>
          <cell r="B2158" t="str">
            <v>DVI Erweitungskarte für Tulip System</v>
          </cell>
          <cell r="C2158">
            <v>0</v>
          </cell>
          <cell r="D2158">
            <v>24</v>
          </cell>
        </row>
        <row r="2159">
          <cell r="A2159" t="str">
            <v>3100008M</v>
          </cell>
          <cell r="B2159" t="str">
            <v>AT-2712FX/SC-001 Secure PCIE X</v>
          </cell>
          <cell r="C2159">
            <v>23</v>
          </cell>
          <cell r="D2159">
            <v>104.36</v>
          </cell>
        </row>
        <row r="2160">
          <cell r="A2160" t="str">
            <v>3100009M</v>
          </cell>
          <cell r="B2160" t="str">
            <v>Blackmagic DeckLink SDI</v>
          </cell>
          <cell r="C2160">
            <v>1</v>
          </cell>
          <cell r="D2160">
            <v>189.5</v>
          </cell>
        </row>
        <row r="2161">
          <cell r="A2161" t="str">
            <v>3100010M</v>
          </cell>
          <cell r="B2161" t="str">
            <v>Topcon Grafikkarte PCIe 1024MB GF-GT520 Palit</v>
          </cell>
          <cell r="C2161">
            <v>0</v>
          </cell>
          <cell r="D2161">
            <v>0</v>
          </cell>
        </row>
        <row r="2162">
          <cell r="A2162" t="str">
            <v>3100011M</v>
          </cell>
          <cell r="B2162" t="str">
            <v>Topcon Grafikkarte PCIe 2048MB GT610 Asus</v>
          </cell>
          <cell r="C2162">
            <v>0</v>
          </cell>
          <cell r="D2162">
            <v>32</v>
          </cell>
        </row>
        <row r="2163">
          <cell r="A2163" t="str">
            <v>3200001M</v>
          </cell>
          <cell r="B2163" t="str">
            <v>Intel Core i5-2510E Proc. (3 MB Cache, 2.50 GHz)</v>
          </cell>
          <cell r="C2163">
            <v>0</v>
          </cell>
          <cell r="D2163">
            <v>201</v>
          </cell>
        </row>
        <row r="2164">
          <cell r="A2164" t="str">
            <v>3200002M</v>
          </cell>
          <cell r="B2164" t="str">
            <v>Intel Core i7-2710QE Proc. (6 MB Cache, 2.1 GHz)</v>
          </cell>
          <cell r="C2164">
            <v>0</v>
          </cell>
          <cell r="D2164">
            <v>249.8</v>
          </cell>
        </row>
        <row r="2165">
          <cell r="A2165" t="str">
            <v>3200003M</v>
          </cell>
          <cell r="B2165" t="str">
            <v>Intel Core i7-2710QE (6 MB Cache, 2.10/ 3.00 GHz)</v>
          </cell>
          <cell r="C2165">
            <v>3</v>
          </cell>
          <cell r="D2165">
            <v>401</v>
          </cell>
        </row>
        <row r="2166">
          <cell r="A2166" t="str">
            <v>3200004M</v>
          </cell>
          <cell r="B2166" t="str">
            <v>Prozessor Intel Core i7-3610QE</v>
          </cell>
          <cell r="C2166">
            <v>15</v>
          </cell>
          <cell r="D2166">
            <v>374</v>
          </cell>
        </row>
        <row r="2167">
          <cell r="A2167" t="str">
            <v>3300001M</v>
          </cell>
          <cell r="B2167" t="str">
            <v>RAM-2GB-DIMM 148 PIN-266MHz/PC2100 ECC</v>
          </cell>
          <cell r="C2167">
            <v>0</v>
          </cell>
          <cell r="D2167">
            <v>103.56</v>
          </cell>
        </row>
        <row r="2168">
          <cell r="A2168" t="str">
            <v>3300002M</v>
          </cell>
          <cell r="B2168" t="str">
            <v>Arbeitsspeicher 1GB DDR PC400 Transcend</v>
          </cell>
          <cell r="C2168">
            <v>30</v>
          </cell>
          <cell r="D2168">
            <v>16.03</v>
          </cell>
        </row>
        <row r="2169">
          <cell r="A2169" t="str">
            <v>3300003M</v>
          </cell>
          <cell r="B2169" t="str">
            <v>1 GB DDR2 / PC800 RAM</v>
          </cell>
          <cell r="C2169">
            <v>1</v>
          </cell>
          <cell r="D2169">
            <v>12.9</v>
          </cell>
        </row>
        <row r="2170">
          <cell r="A2170" t="str">
            <v>3300004M</v>
          </cell>
          <cell r="B2170" t="str">
            <v>RAM DDR2 SO-DIMM  2GB / PC800 / Samsung</v>
          </cell>
          <cell r="C2170">
            <v>0</v>
          </cell>
          <cell r="D2170">
            <v>30</v>
          </cell>
        </row>
        <row r="2171">
          <cell r="A2171" t="str">
            <v>3300005M</v>
          </cell>
          <cell r="B2171" t="str">
            <v>Deckeldichtung für Deckel IP Abdichtung</v>
          </cell>
          <cell r="C2171">
            <v>0</v>
          </cell>
          <cell r="D2171">
            <v>5</v>
          </cell>
        </row>
        <row r="2172">
          <cell r="A2172">
            <v>330119</v>
          </cell>
          <cell r="B2172" t="str">
            <v>HYUNDAI ImageQuest B91D 19"-TFT, analog-digital</v>
          </cell>
          <cell r="C2172">
            <v>0</v>
          </cell>
          <cell r="D2172">
            <v>193</v>
          </cell>
        </row>
        <row r="2173">
          <cell r="A2173">
            <v>330123</v>
          </cell>
          <cell r="B2173" t="str">
            <v>HYUNDAI ImageQuest B71D 17"-TFT, analog-digital</v>
          </cell>
          <cell r="C2173">
            <v>0</v>
          </cell>
          <cell r="D2173">
            <v>0</v>
          </cell>
        </row>
        <row r="2174">
          <cell r="A2174">
            <v>330132</v>
          </cell>
          <cell r="B2174" t="str">
            <v>HYUNDAI LCD-TV L17T 17" schwarz</v>
          </cell>
          <cell r="C2174">
            <v>0</v>
          </cell>
          <cell r="D2174">
            <v>199</v>
          </cell>
        </row>
        <row r="2175">
          <cell r="A2175">
            <v>330133</v>
          </cell>
          <cell r="B2175" t="str">
            <v>HYUNDAI LCD-TV L17T 19" schwarz</v>
          </cell>
          <cell r="C2175">
            <v>0</v>
          </cell>
          <cell r="D2175">
            <v>226.6</v>
          </cell>
        </row>
        <row r="2176">
          <cell r="A2176">
            <v>330143</v>
          </cell>
          <cell r="B2176" t="str">
            <v>HYUNDAI ImageQuest B70D 17"-TFT, analog-digital</v>
          </cell>
          <cell r="C2176">
            <v>0</v>
          </cell>
          <cell r="D2176">
            <v>89.78</v>
          </cell>
        </row>
        <row r="2177">
          <cell r="A2177">
            <v>330144</v>
          </cell>
          <cell r="B2177" t="str">
            <v>HYUNDAI ImageQuest B90D 19"-TFT, VGA / DVI</v>
          </cell>
          <cell r="C2177">
            <v>0</v>
          </cell>
          <cell r="D2177">
            <v>158</v>
          </cell>
        </row>
        <row r="2178">
          <cell r="A2178" t="str">
            <v>3400001M</v>
          </cell>
          <cell r="B2178" t="str">
            <v>80GB SATA Festplatte 2.5", 5.400 rpm 24x7</v>
          </cell>
          <cell r="C2178">
            <v>0</v>
          </cell>
          <cell r="D2178">
            <v>83</v>
          </cell>
        </row>
        <row r="2179">
          <cell r="A2179" t="str">
            <v>3400002M</v>
          </cell>
          <cell r="B2179" t="str">
            <v>HDSATA 750.0GB Samsung HE753LJ/32 MB/3,5"/ 24/7</v>
          </cell>
          <cell r="C2179">
            <v>0</v>
          </cell>
          <cell r="D2179">
            <v>76.400000000000006</v>
          </cell>
        </row>
        <row r="2180">
          <cell r="A2180" t="str">
            <v>3400003M</v>
          </cell>
          <cell r="B2180" t="str">
            <v>HDSATA 160.0 GB Seagate ST9160412AS 2.5"/7200 rpm</v>
          </cell>
          <cell r="C2180">
            <v>0</v>
          </cell>
          <cell r="D2180">
            <v>30.69</v>
          </cell>
        </row>
        <row r="2181">
          <cell r="A2181" t="str">
            <v>3400004M</v>
          </cell>
          <cell r="B2181" t="str">
            <v>HDSATA 150.0GB Western Digital WD1500BLFS / 10K</v>
          </cell>
          <cell r="C2181">
            <v>0</v>
          </cell>
          <cell r="D2181">
            <v>91.84</v>
          </cell>
        </row>
        <row r="2182">
          <cell r="A2182" t="str">
            <v>3400005M</v>
          </cell>
          <cell r="B2182" t="str">
            <v>80GB HD SATA  2.5", Endurastar J4K100</v>
          </cell>
          <cell r="C2182">
            <v>0</v>
          </cell>
          <cell r="D2182">
            <v>99.5</v>
          </cell>
        </row>
        <row r="2183">
          <cell r="A2183" t="str">
            <v>3400006M</v>
          </cell>
          <cell r="B2183" t="str">
            <v>Festplatte 2.5" SATA 100 GB MK-1060GSCX</v>
          </cell>
          <cell r="C2183">
            <v>0</v>
          </cell>
          <cell r="D2183">
            <v>117.5</v>
          </cell>
        </row>
        <row r="2184">
          <cell r="A2184" t="str">
            <v>3400007M</v>
          </cell>
          <cell r="B2184" t="str">
            <v>HDD 2.5" 500GB 5400rpm 24/7 SATA3</v>
          </cell>
          <cell r="C2184">
            <v>0</v>
          </cell>
          <cell r="D2184">
            <v>78.3</v>
          </cell>
        </row>
        <row r="2185">
          <cell r="A2185" t="str">
            <v>3400008M</v>
          </cell>
          <cell r="B2185" t="str">
            <v>HDD T12L HDD SATA 2.5 160 GB 5400 rpm</v>
          </cell>
          <cell r="C2185">
            <v>0</v>
          </cell>
          <cell r="D2185">
            <v>38</v>
          </cell>
        </row>
        <row r="2186">
          <cell r="A2186" t="str">
            <v>3400009M</v>
          </cell>
          <cell r="B2186" t="str">
            <v>Festplatte 2,5" SATA2 SSD 128 GB APS25P6B128G-CCM</v>
          </cell>
          <cell r="C2186">
            <v>3</v>
          </cell>
          <cell r="D2186">
            <v>127.94</v>
          </cell>
        </row>
        <row r="2187">
          <cell r="A2187" t="str">
            <v>3400010M</v>
          </cell>
          <cell r="B2187" t="str">
            <v>SSD 128GB APS25P6B128G-DCM incl. screws</v>
          </cell>
          <cell r="C2187">
            <v>289</v>
          </cell>
          <cell r="D2187">
            <v>109.62</v>
          </cell>
        </row>
        <row r="2188">
          <cell r="A2188" t="str">
            <v>3400011M</v>
          </cell>
          <cell r="B2188" t="str">
            <v>Sandisk 8GB Compact FlashCard 60/400 SDCFixed Driv</v>
          </cell>
          <cell r="C2188">
            <v>0</v>
          </cell>
          <cell r="D2188">
            <v>33.4</v>
          </cell>
        </row>
        <row r="2189">
          <cell r="A2189" t="str">
            <v>3400012M</v>
          </cell>
          <cell r="B2189" t="str">
            <v>HDD 2.5" 500GB 7200rpm 24/7 SATA3</v>
          </cell>
          <cell r="C2189">
            <v>0</v>
          </cell>
          <cell r="D2189">
            <v>105</v>
          </cell>
        </row>
        <row r="2190">
          <cell r="A2190" t="str">
            <v>3400013M</v>
          </cell>
          <cell r="B2190" t="str">
            <v>SSD 64GB APS25P6B064G-DCM incl. screws</v>
          </cell>
          <cell r="C2190">
            <v>0</v>
          </cell>
          <cell r="D2190">
            <v>93.89</v>
          </cell>
        </row>
        <row r="2191">
          <cell r="A2191" t="str">
            <v>3400014M</v>
          </cell>
          <cell r="B2191" t="str">
            <v>SSD 256GB APS25P6B256G-DCM incl. screws</v>
          </cell>
          <cell r="C2191">
            <v>0</v>
          </cell>
          <cell r="D2191">
            <v>280.55</v>
          </cell>
        </row>
        <row r="2192">
          <cell r="A2192">
            <v>350</v>
          </cell>
          <cell r="B2192" t="str">
            <v>36 Mon. Garantie inkl. 12 Mon. Vor-Ort-Service</v>
          </cell>
          <cell r="C2192">
            <v>-3</v>
          </cell>
          <cell r="D2192">
            <v>0</v>
          </cell>
        </row>
        <row r="2193">
          <cell r="A2193" t="str">
            <v>3500001M</v>
          </cell>
          <cell r="B2193" t="str">
            <v>LiteOn DVD Brenner  [SATA] LH-20A1S-10C Beige bulk</v>
          </cell>
          <cell r="C2193">
            <v>0</v>
          </cell>
          <cell r="D2193">
            <v>25.6</v>
          </cell>
        </row>
        <row r="2194">
          <cell r="A2194" t="str">
            <v>3500002M</v>
          </cell>
          <cell r="B2194" t="str">
            <v>Sony/NEC Optiarc DVD Brenner AD-5200A, beige</v>
          </cell>
          <cell r="C2194">
            <v>0</v>
          </cell>
          <cell r="D2194">
            <v>23.9</v>
          </cell>
        </row>
        <row r="2195">
          <cell r="A2195" t="str">
            <v>3500003M</v>
          </cell>
          <cell r="B2195" t="str">
            <v>PANASONIC DVD-BluRay SlimLine Slot IDE</v>
          </cell>
          <cell r="C2195">
            <v>0</v>
          </cell>
          <cell r="D2195">
            <v>327</v>
          </cell>
        </row>
        <row r="2196">
          <cell r="A2196" t="str">
            <v>3500004M</v>
          </cell>
          <cell r="B2196" t="str">
            <v>PANASONIC DVD-RW SlimLine Slot IDE</v>
          </cell>
          <cell r="C2196">
            <v>0</v>
          </cell>
          <cell r="D2196">
            <v>47.8</v>
          </cell>
        </row>
        <row r="2197">
          <cell r="A2197" t="str">
            <v>3500005M</v>
          </cell>
          <cell r="B2197" t="str">
            <v>DVD+-RW/RW/DL AD-5200A-01 beige - IDE</v>
          </cell>
          <cell r="C2197">
            <v>0</v>
          </cell>
          <cell r="D2197">
            <v>21.9</v>
          </cell>
        </row>
        <row r="2198">
          <cell r="A2198" t="str">
            <v>3500006M</v>
          </cell>
          <cell r="B2198" t="str">
            <v>PANASONIC DVD-RW Slim UJ 875 SATA</v>
          </cell>
          <cell r="C2198">
            <v>0</v>
          </cell>
          <cell r="D2198">
            <v>41.26</v>
          </cell>
        </row>
        <row r="2199">
          <cell r="A2199" t="str">
            <v>3500007M</v>
          </cell>
          <cell r="B2199" t="str">
            <v>DVD+-RW Teac DV-W522GMA beige - IDE</v>
          </cell>
          <cell r="C2199">
            <v>0</v>
          </cell>
          <cell r="D2199">
            <v>30.37</v>
          </cell>
        </row>
        <row r="2200">
          <cell r="A2200" t="str">
            <v>3500008M</v>
          </cell>
          <cell r="B2200" t="str">
            <v>Sony/NEC Slim Slot-In DVD±RW AD-7670-S</v>
          </cell>
          <cell r="C2200">
            <v>0</v>
          </cell>
          <cell r="D2200">
            <v>38.29</v>
          </cell>
        </row>
        <row r="2201">
          <cell r="A2201" t="str">
            <v>3500009M</v>
          </cell>
          <cell r="B2201" t="str">
            <v>Laufwerk Slim DVD±RW SATA Slot DV-W28SS-W93</v>
          </cell>
          <cell r="C2201">
            <v>0</v>
          </cell>
          <cell r="D2201">
            <v>0</v>
          </cell>
        </row>
        <row r="2202">
          <cell r="A2202" t="str">
            <v>3500010M</v>
          </cell>
          <cell r="B2202" t="str">
            <v>Laufwerk Slim-Blu-ray/DVD+/-RW SATA BD-C26SS-A93</v>
          </cell>
          <cell r="C2202">
            <v>0</v>
          </cell>
          <cell r="D2202">
            <v>0</v>
          </cell>
        </row>
        <row r="2203">
          <cell r="A2203" t="str">
            <v>3500011M</v>
          </cell>
          <cell r="B2203" t="str">
            <v>Laufwerk Slim DVD±RW SATA Slot UJ8C5</v>
          </cell>
          <cell r="C2203">
            <v>36</v>
          </cell>
          <cell r="D2203">
            <v>32.950000000000003</v>
          </cell>
        </row>
        <row r="2204">
          <cell r="A2204" t="str">
            <v>3500012M</v>
          </cell>
          <cell r="B2204" t="str">
            <v>Laufwerk DVD±RW 5,25" Blende RAL9003</v>
          </cell>
          <cell r="C2204">
            <v>15</v>
          </cell>
          <cell r="D2204">
            <v>31.9</v>
          </cell>
        </row>
        <row r="2205">
          <cell r="A2205" t="str">
            <v>3500013M</v>
          </cell>
          <cell r="B2205" t="str">
            <v>Laufwerk DVD±RW SATA iHAS124-04</v>
          </cell>
          <cell r="C2205">
            <v>3</v>
          </cell>
          <cell r="D2205">
            <v>14.5</v>
          </cell>
        </row>
        <row r="2206">
          <cell r="A2206" t="str">
            <v>3600001M</v>
          </cell>
          <cell r="B2206" t="str">
            <v>Typhoon Soundkarte - E&amp;L Beistellware</v>
          </cell>
          <cell r="C2206">
            <v>0</v>
          </cell>
          <cell r="D2206">
            <v>0</v>
          </cell>
        </row>
        <row r="2207">
          <cell r="A2207" t="str">
            <v>3600002M</v>
          </cell>
          <cell r="B2207" t="str">
            <v>Hauppauge Framegrabber-Karte - E&amp;L Beistellware</v>
          </cell>
          <cell r="C2207">
            <v>0</v>
          </cell>
          <cell r="D2207">
            <v>0</v>
          </cell>
        </row>
        <row r="2208">
          <cell r="A2208" t="str">
            <v>3600003M</v>
          </cell>
          <cell r="B2208" t="str">
            <v>Slotblech 2xUSB + 2xFireWire mit Kabel</v>
          </cell>
          <cell r="C2208">
            <v>0</v>
          </cell>
          <cell r="D2208">
            <v>5.21</v>
          </cell>
        </row>
        <row r="2209">
          <cell r="A2209" t="str">
            <v>3600004M</v>
          </cell>
          <cell r="B2209" t="str">
            <v>USB 2.0 + FireWire PCI Karte</v>
          </cell>
          <cell r="C2209">
            <v>0</v>
          </cell>
          <cell r="D2209">
            <v>11.66</v>
          </cell>
        </row>
        <row r="2210">
          <cell r="A2210" t="str">
            <v>3600005M</v>
          </cell>
          <cell r="B2210" t="str">
            <v>DLINK DFE-551FX Fiber Fast Ethernet PCI Adapter</v>
          </cell>
          <cell r="C2210">
            <v>0</v>
          </cell>
          <cell r="D2210">
            <v>63.2</v>
          </cell>
        </row>
        <row r="2211">
          <cell r="A2211" t="str">
            <v>3600006M</v>
          </cell>
          <cell r="B2211" t="str">
            <v>Exsys EX-6500E</v>
          </cell>
          <cell r="C2211">
            <v>0</v>
          </cell>
          <cell r="D2211">
            <v>20.13</v>
          </cell>
        </row>
        <row r="2212">
          <cell r="A2212" t="str">
            <v>3600007M</v>
          </cell>
          <cell r="B2212" t="str">
            <v>GH-152-V-C13-EF Risercard UKD</v>
          </cell>
          <cell r="C2212">
            <v>1</v>
          </cell>
          <cell r="D2212">
            <v>18</v>
          </cell>
        </row>
        <row r="2213">
          <cell r="A2213" t="str">
            <v>3600008M</v>
          </cell>
          <cell r="B2213" t="str">
            <v>RS422 Schnittstellenkarte - Beistellung Consarctic</v>
          </cell>
          <cell r="C2213">
            <v>0</v>
          </cell>
          <cell r="D2213">
            <v>0</v>
          </cell>
        </row>
        <row r="2214">
          <cell r="A2214" t="str">
            <v>3600009M</v>
          </cell>
          <cell r="B2214" t="str">
            <v>Risercard Ably 1HE/2HE PCIe x16</v>
          </cell>
          <cell r="C2214">
            <v>0</v>
          </cell>
          <cell r="D2214">
            <v>26.5</v>
          </cell>
        </row>
        <row r="2215">
          <cell r="A2215" t="str">
            <v>3600010M</v>
          </cell>
          <cell r="B2215" t="str">
            <v>DATA VISION-E2S</v>
          </cell>
          <cell r="C2215">
            <v>0</v>
          </cell>
          <cell r="D2215">
            <v>960.43</v>
          </cell>
        </row>
        <row r="2216">
          <cell r="A2216" t="str">
            <v>3600011M</v>
          </cell>
          <cell r="B2216" t="str">
            <v>PCI Riser flex 2 Slot Karte</v>
          </cell>
          <cell r="C2216">
            <v>0</v>
          </cell>
          <cell r="D2216">
            <v>18.989999999999998</v>
          </cell>
        </row>
        <row r="2217">
          <cell r="A2217" t="str">
            <v>3600012M</v>
          </cell>
          <cell r="B2217" t="str">
            <v>LWL Karte AT 712FX LP/PCIe/100Base-FX</v>
          </cell>
          <cell r="C2217">
            <v>0</v>
          </cell>
          <cell r="D2217">
            <v>111.07</v>
          </cell>
        </row>
        <row r="2218">
          <cell r="A2218" t="str">
            <v>3600013M</v>
          </cell>
          <cell r="B2218" t="str">
            <v>Karte 8fach seriell PCI-E x1</v>
          </cell>
          <cell r="C2218">
            <v>94</v>
          </cell>
          <cell r="D2218">
            <v>88.58</v>
          </cell>
        </row>
        <row r="2219">
          <cell r="A2219" t="str">
            <v>3600014M</v>
          </cell>
          <cell r="B2219" t="str">
            <v>Framegrabber DATA VISION-E2S with Heatsink</v>
          </cell>
          <cell r="C2219">
            <v>31</v>
          </cell>
          <cell r="D2219">
            <v>937</v>
          </cell>
        </row>
        <row r="2220">
          <cell r="A2220" t="str">
            <v>3600015M</v>
          </cell>
          <cell r="B2220" t="str">
            <v>Framegrabber Matrox AVCIO Daughterboard</v>
          </cell>
          <cell r="C2220">
            <v>33</v>
          </cell>
          <cell r="D2220">
            <v>0</v>
          </cell>
        </row>
        <row r="2221">
          <cell r="A2221" t="str">
            <v>3600016M</v>
          </cell>
          <cell r="B2221" t="str">
            <v>Platine KS Digital I/Os</v>
          </cell>
          <cell r="C2221">
            <v>0</v>
          </cell>
          <cell r="D2221">
            <v>114</v>
          </cell>
        </row>
        <row r="2222">
          <cell r="A2222" t="str">
            <v>3600017M</v>
          </cell>
          <cell r="B2222" t="str">
            <v>PCIe 2x USB3.0 extern</v>
          </cell>
          <cell r="C2222">
            <v>0</v>
          </cell>
          <cell r="D2222">
            <v>11.8</v>
          </cell>
        </row>
        <row r="2223">
          <cell r="A2223" t="str">
            <v>3600018M</v>
          </cell>
          <cell r="B2223" t="str">
            <v>Framegrabber Matrox X.AVCIO</v>
          </cell>
          <cell r="C2223">
            <v>129</v>
          </cell>
          <cell r="D2223">
            <v>0</v>
          </cell>
        </row>
        <row r="2224">
          <cell r="A2224" t="str">
            <v>3600019M</v>
          </cell>
          <cell r="B2224" t="str">
            <v>PCI 2x USB3.0 extern EX-1092</v>
          </cell>
          <cell r="C2224">
            <v>0</v>
          </cell>
          <cell r="D2224">
            <v>34</v>
          </cell>
        </row>
        <row r="2225">
          <cell r="A2225" t="str">
            <v>3600020M</v>
          </cell>
          <cell r="B2225" t="str">
            <v>PCI 2x Seriell Extern</v>
          </cell>
          <cell r="C2225">
            <v>7</v>
          </cell>
          <cell r="D2225">
            <v>17.3</v>
          </cell>
        </row>
        <row r="2226">
          <cell r="A2226" t="str">
            <v>3600021M</v>
          </cell>
          <cell r="B2226" t="str">
            <v>E&amp;L Framegrabber BMD 4k Extreme</v>
          </cell>
          <cell r="C2226">
            <v>0</v>
          </cell>
          <cell r="D2226">
            <v>0</v>
          </cell>
        </row>
        <row r="2227">
          <cell r="A2227" t="str">
            <v>3600022M</v>
          </cell>
          <cell r="B2227" t="str">
            <v>E&amp;L Framegrabber ImagingSource DFG/SV1/PCIe</v>
          </cell>
          <cell r="C2227">
            <v>3</v>
          </cell>
          <cell r="D2227">
            <v>0</v>
          </cell>
        </row>
        <row r="2228">
          <cell r="A2228" t="str">
            <v>3600023M</v>
          </cell>
          <cell r="B2228" t="str">
            <v>PCI 2x USB 3.0 extern Vers.2</v>
          </cell>
          <cell r="C2228">
            <v>0</v>
          </cell>
          <cell r="D2228">
            <v>40.159999999999997</v>
          </cell>
        </row>
        <row r="2229">
          <cell r="A2229" t="str">
            <v>3600024M</v>
          </cell>
          <cell r="B2229" t="str">
            <v>Dis-Med Framegrabber Osprey 100</v>
          </cell>
          <cell r="C2229">
            <v>0</v>
          </cell>
          <cell r="D2229">
            <v>0</v>
          </cell>
        </row>
        <row r="2230">
          <cell r="A2230" t="str">
            <v>3600025M</v>
          </cell>
          <cell r="B2230" t="str">
            <v>Dis-Med Framegrabber Card LT-102</v>
          </cell>
          <cell r="C2230">
            <v>0</v>
          </cell>
          <cell r="D2230">
            <v>0</v>
          </cell>
        </row>
        <row r="2231">
          <cell r="A2231" t="str">
            <v>3600026M</v>
          </cell>
          <cell r="B2231" t="str">
            <v>Dis-Med Framegrabber Card LT-122</v>
          </cell>
          <cell r="C2231">
            <v>0</v>
          </cell>
          <cell r="D2231">
            <v>0</v>
          </cell>
        </row>
        <row r="2232">
          <cell r="A2232" t="str">
            <v>3600027M</v>
          </cell>
          <cell r="B2232" t="str">
            <v>PCIe-Riser-Karte x1 &gt; PCI 32-Bit mit Kabel 9cm</v>
          </cell>
          <cell r="C2232">
            <v>5</v>
          </cell>
          <cell r="D2232">
            <v>33.25</v>
          </cell>
        </row>
        <row r="2233">
          <cell r="A2233" t="str">
            <v>3600028M</v>
          </cell>
          <cell r="B2233" t="str">
            <v>Moxa 4x RS232 PCIe LP w/ Isol.</v>
          </cell>
          <cell r="C2233">
            <v>0</v>
          </cell>
          <cell r="D2233">
            <v>265.2</v>
          </cell>
        </row>
        <row r="2234">
          <cell r="A2234" t="str">
            <v>3600029M</v>
          </cell>
          <cell r="B2234" t="str">
            <v>Moxa PCIe RS232 w/o connection cable</v>
          </cell>
          <cell r="C2234">
            <v>2</v>
          </cell>
          <cell r="D2234">
            <v>181.9</v>
          </cell>
        </row>
        <row r="2235">
          <cell r="A2235" t="str">
            <v>3700001M</v>
          </cell>
          <cell r="B2235" t="str">
            <v>2.5" Compact Flash Card Frame SATA</v>
          </cell>
          <cell r="C2235">
            <v>0</v>
          </cell>
          <cell r="D2235">
            <v>25.67</v>
          </cell>
        </row>
        <row r="2236">
          <cell r="A2236" t="str">
            <v>3700002M</v>
          </cell>
          <cell r="B2236" t="str">
            <v>Lüfter Gehäuse 40x40x11mm DS04010B12L-012</v>
          </cell>
          <cell r="C2236">
            <v>21</v>
          </cell>
          <cell r="D2236">
            <v>7.6</v>
          </cell>
        </row>
        <row r="2237">
          <cell r="A2237" t="str">
            <v>3700003M</v>
          </cell>
          <cell r="B2237" t="str">
            <v>Lüfter Gehäuse DS06025B12L-029</v>
          </cell>
          <cell r="C2237">
            <v>0</v>
          </cell>
          <cell r="D2237">
            <v>0</v>
          </cell>
        </row>
        <row r="2238">
          <cell r="A2238" t="str">
            <v>3700004M</v>
          </cell>
          <cell r="B2238" t="str">
            <v>Lüfter Gehäuse 40x40mm MB40101V2-G99</v>
          </cell>
          <cell r="C2238">
            <v>71</v>
          </cell>
          <cell r="D2238">
            <v>2.6</v>
          </cell>
        </row>
        <row r="2239">
          <cell r="A2239" t="str">
            <v>3700005M</v>
          </cell>
          <cell r="B2239" t="str">
            <v>Lüfter Gehäuse 60x60mm MB60101V2-000-A99</v>
          </cell>
          <cell r="C2239">
            <v>343</v>
          </cell>
          <cell r="D2239">
            <v>2.81</v>
          </cell>
        </row>
        <row r="2240">
          <cell r="A2240" t="str">
            <v>3700006M</v>
          </cell>
          <cell r="B2240" t="str">
            <v>Backplate für S1156/1155 Kunststoff M3 Gewinde</v>
          </cell>
          <cell r="C2240">
            <v>326</v>
          </cell>
          <cell r="D2240">
            <v>0.49</v>
          </cell>
        </row>
        <row r="2241">
          <cell r="A2241" t="str">
            <v>3700007M</v>
          </cell>
          <cell r="B2241" t="str">
            <v>Lüfter Prozessor 60x60x30,5mm PGA989/BGA1288</v>
          </cell>
          <cell r="C2241">
            <v>5</v>
          </cell>
          <cell r="D2241">
            <v>14.95</v>
          </cell>
        </row>
        <row r="2242">
          <cell r="A2242" t="str">
            <v>3700008M</v>
          </cell>
          <cell r="B2242" t="str">
            <v>Lüfter Prozessor S479 Low Profile V2</v>
          </cell>
          <cell r="C2242">
            <v>412</v>
          </cell>
          <cell r="D2242">
            <v>9.14</v>
          </cell>
        </row>
        <row r="2243">
          <cell r="A2243" t="str">
            <v>3700009M</v>
          </cell>
          <cell r="B2243" t="str">
            <v>D-Link DWA-566 Wireless N Dualband PCIe Adapter</v>
          </cell>
          <cell r="C2243">
            <v>0</v>
          </cell>
          <cell r="D2243">
            <v>49.54</v>
          </cell>
        </row>
        <row r="2244">
          <cell r="A2244">
            <v>3740156</v>
          </cell>
          <cell r="B2244" t="str">
            <v>D-Link WLAN 108Mbit AirPlus XtremGTM PCI</v>
          </cell>
          <cell r="C2244">
            <v>0</v>
          </cell>
          <cell r="D2244">
            <v>24.9</v>
          </cell>
        </row>
        <row r="2245">
          <cell r="A2245">
            <v>3740187</v>
          </cell>
          <cell r="B2245" t="str">
            <v>D-Link WLAN 300MBit Draft-N PCI Adapter</v>
          </cell>
          <cell r="C2245">
            <v>0</v>
          </cell>
          <cell r="D2245">
            <v>26.9</v>
          </cell>
        </row>
        <row r="2246">
          <cell r="A2246">
            <v>3740188</v>
          </cell>
          <cell r="B2246" t="str">
            <v>D-Link DWA-566 Wireless N Dualband PCIe Adapter</v>
          </cell>
          <cell r="C2246">
            <v>0</v>
          </cell>
          <cell r="D2246">
            <v>49.54</v>
          </cell>
        </row>
        <row r="2247">
          <cell r="A2247">
            <v>3740189</v>
          </cell>
          <cell r="B2247" t="str">
            <v>D-Link WLAN 300MBit Draft-N PCIe x1 Adapter</v>
          </cell>
          <cell r="C2247">
            <v>0</v>
          </cell>
          <cell r="D2247">
            <v>59.9</v>
          </cell>
        </row>
        <row r="2248">
          <cell r="A2248" t="str">
            <v>3750003M</v>
          </cell>
          <cell r="B2248" t="str">
            <v>Lüfter Prozessor S775/S1156/S1366 Sideblow</v>
          </cell>
          <cell r="C2248">
            <v>347</v>
          </cell>
          <cell r="D2248">
            <v>15.08</v>
          </cell>
        </row>
        <row r="2249">
          <cell r="A2249">
            <v>3750020</v>
          </cell>
          <cell r="B2249" t="str">
            <v>Intel Pro/1000 MT Server Adapter bulk</v>
          </cell>
          <cell r="C2249">
            <v>0</v>
          </cell>
          <cell r="D2249">
            <v>79</v>
          </cell>
        </row>
        <row r="2250">
          <cell r="A2250">
            <v>3750031</v>
          </cell>
          <cell r="B2250" t="str">
            <v>Intel Pro/1000 GT Desktop NIC PWLA8391GT RoHS</v>
          </cell>
          <cell r="C2250">
            <v>16</v>
          </cell>
          <cell r="D2250">
            <v>18.5</v>
          </cell>
        </row>
        <row r="2251">
          <cell r="A2251">
            <v>3750035</v>
          </cell>
          <cell r="B2251" t="str">
            <v>Intel Pro/1000 PT Desk.NIC PCIe x1 EXPI9300PT</v>
          </cell>
          <cell r="C2251">
            <v>0</v>
          </cell>
          <cell r="D2251">
            <v>28</v>
          </cell>
        </row>
        <row r="2252">
          <cell r="A2252">
            <v>3750041</v>
          </cell>
          <cell r="B2252" t="str">
            <v>Netzwerkkarte Intel Pro PCIex1 EXP19301CT, LP</v>
          </cell>
          <cell r="C2252">
            <v>10</v>
          </cell>
          <cell r="D2252">
            <v>18.27</v>
          </cell>
        </row>
        <row r="2253">
          <cell r="A2253">
            <v>3758012</v>
          </cell>
          <cell r="B2253" t="str">
            <v>Intel RAID U320 Controller SRCU41L (Lake Shetek)</v>
          </cell>
          <cell r="C2253">
            <v>0</v>
          </cell>
          <cell r="D2253">
            <v>270</v>
          </cell>
        </row>
        <row r="2254">
          <cell r="A2254">
            <v>3800023</v>
          </cell>
          <cell r="B2254" t="str">
            <v>LevelOne PCI Adapter 100Mbit Fiber ST-Duplex +++</v>
          </cell>
          <cell r="C2254">
            <v>1</v>
          </cell>
          <cell r="D2254">
            <v>57.4</v>
          </cell>
        </row>
        <row r="2255">
          <cell r="A2255">
            <v>3800265</v>
          </cell>
          <cell r="B2255" t="str">
            <v>LevelOne Switch 8x GBit Unmanaged Compact</v>
          </cell>
          <cell r="C2255">
            <v>0</v>
          </cell>
          <cell r="D2255">
            <v>41.6</v>
          </cell>
        </row>
        <row r="2256">
          <cell r="A2256">
            <v>3801028</v>
          </cell>
          <cell r="B2256" t="str">
            <v>D-Link 8 Port Desktop Switch 10/100 MBit</v>
          </cell>
          <cell r="C2256">
            <v>0</v>
          </cell>
          <cell r="D2256">
            <v>14</v>
          </cell>
        </row>
        <row r="2257">
          <cell r="A2257">
            <v>3801169</v>
          </cell>
          <cell r="B2257" t="str">
            <v>Allied Telesyn 2701 FX/SC  PCI SC WoL</v>
          </cell>
          <cell r="C2257">
            <v>0</v>
          </cell>
          <cell r="D2257">
            <v>85</v>
          </cell>
        </row>
        <row r="2258">
          <cell r="A2258">
            <v>3801242</v>
          </cell>
          <cell r="B2258" t="str">
            <v>D-Link WLAN 54MBit Modem-Router Annex B</v>
          </cell>
          <cell r="C2258">
            <v>0</v>
          </cell>
          <cell r="D2258">
            <v>45</v>
          </cell>
        </row>
        <row r="2259">
          <cell r="A2259">
            <v>3809200</v>
          </cell>
          <cell r="B2259" t="str">
            <v>Kabel Strom Netz/Kaltgerätestecker 1.8m Int.</v>
          </cell>
          <cell r="C2259">
            <v>767</v>
          </cell>
          <cell r="D2259">
            <v>1.6</v>
          </cell>
        </row>
        <row r="2260">
          <cell r="A2260">
            <v>3809248</v>
          </cell>
          <cell r="B2260" t="str">
            <v>Cable Power Cord INT 240V 3 Meter</v>
          </cell>
          <cell r="C2260">
            <v>112</v>
          </cell>
          <cell r="D2260">
            <v>1.85</v>
          </cell>
        </row>
        <row r="2261">
          <cell r="A2261">
            <v>3809917</v>
          </cell>
          <cell r="B2261" t="str">
            <v>Kabel Y-Strom 5.25" nach 2x 5.25"</v>
          </cell>
          <cell r="C2261">
            <v>5</v>
          </cell>
          <cell r="D2261">
            <v>0.79</v>
          </cell>
        </row>
        <row r="2262">
          <cell r="A2262">
            <v>3809929</v>
          </cell>
          <cell r="B2262" t="str">
            <v>Monitorkabel DVI digital 1.80m ST/ST Duallink</v>
          </cell>
          <cell r="C2262">
            <v>0</v>
          </cell>
          <cell r="D2262">
            <v>3.9</v>
          </cell>
        </row>
        <row r="2263">
          <cell r="A2263">
            <v>3809942</v>
          </cell>
          <cell r="B2263" t="str">
            <v>Monitorkabel DVI digital 3.00m ST/ST Dual-Link</v>
          </cell>
          <cell r="C2263">
            <v>0</v>
          </cell>
          <cell r="D2263">
            <v>0</v>
          </cell>
        </row>
        <row r="2264">
          <cell r="A2264">
            <v>3809947</v>
          </cell>
          <cell r="B2264" t="str">
            <v>Monitorkabel DVI-D =&gt; HDMI 2.0m ST/ST</v>
          </cell>
          <cell r="C2264">
            <v>0</v>
          </cell>
          <cell r="D2264">
            <v>5</v>
          </cell>
        </row>
        <row r="2265">
          <cell r="A2265">
            <v>3809986</v>
          </cell>
          <cell r="B2265" t="str">
            <v>Kabel ULTRA ATA  45cm  3 Abgriffe</v>
          </cell>
          <cell r="C2265">
            <v>0</v>
          </cell>
          <cell r="D2265">
            <v>1.1000000000000001</v>
          </cell>
        </row>
        <row r="2266">
          <cell r="A2266">
            <v>3809995</v>
          </cell>
          <cell r="B2266" t="str">
            <v>Kabel ULTRA ATA  60cm  3 Abgriffe</v>
          </cell>
          <cell r="C2266">
            <v>0</v>
          </cell>
          <cell r="D2266">
            <v>0</v>
          </cell>
        </row>
        <row r="2267">
          <cell r="A2267">
            <v>3810006</v>
          </cell>
          <cell r="B2267" t="str">
            <v>Monitorkabel DVI Verlängerung digital 3m ST/BU</v>
          </cell>
          <cell r="C2267">
            <v>0</v>
          </cell>
          <cell r="D2267">
            <v>17</v>
          </cell>
        </row>
        <row r="2268">
          <cell r="A2268">
            <v>3810010</v>
          </cell>
          <cell r="B2268" t="str">
            <v>Kabel SCSI  LVD U320 4 Abgriffe   73cm inkl. Term.</v>
          </cell>
          <cell r="C2268">
            <v>0</v>
          </cell>
          <cell r="D2268">
            <v>17</v>
          </cell>
        </row>
        <row r="2269">
          <cell r="A2269">
            <v>3810013</v>
          </cell>
          <cell r="B2269" t="str">
            <v>Kabel SATA 45cm</v>
          </cell>
          <cell r="C2269">
            <v>38</v>
          </cell>
          <cell r="D2269">
            <v>0.54</v>
          </cell>
        </row>
        <row r="2270">
          <cell r="A2270">
            <v>3810016</v>
          </cell>
          <cell r="B2270" t="str">
            <v>Kabel SATA-Strom nach 5.25" 15cm</v>
          </cell>
          <cell r="C2270">
            <v>308</v>
          </cell>
          <cell r="D2270">
            <v>0.39</v>
          </cell>
        </row>
        <row r="2271">
          <cell r="A2271">
            <v>3810032</v>
          </cell>
          <cell r="B2271" t="str">
            <v>Kabel SATA  30cm</v>
          </cell>
          <cell r="C2271">
            <v>0</v>
          </cell>
          <cell r="D2271">
            <v>0.36</v>
          </cell>
        </row>
        <row r="2272">
          <cell r="A2272">
            <v>3810033</v>
          </cell>
          <cell r="B2272" t="str">
            <v>Kabel SATA 50cm intern abgew. (ob/li) / gerade</v>
          </cell>
          <cell r="C2272">
            <v>415</v>
          </cell>
          <cell r="D2272">
            <v>0.6</v>
          </cell>
        </row>
        <row r="2273">
          <cell r="A2273">
            <v>3810034</v>
          </cell>
          <cell r="B2273" t="str">
            <v>Kabel SATA Slim-SATA-ODD / 5.25"  Strom, intern</v>
          </cell>
          <cell r="C2273">
            <v>0</v>
          </cell>
          <cell r="D2273">
            <v>1</v>
          </cell>
        </row>
        <row r="2274">
          <cell r="A2274">
            <v>3810041</v>
          </cell>
          <cell r="B2274" t="str">
            <v>Kabel DVI 1.8m St/St DualLink</v>
          </cell>
          <cell r="C2274">
            <v>48</v>
          </cell>
          <cell r="D2274">
            <v>2.85</v>
          </cell>
        </row>
        <row r="2275">
          <cell r="A2275">
            <v>3810042</v>
          </cell>
          <cell r="B2275" t="str">
            <v>Equip Monitorkabel DVI digital 3m St/St DualLink</v>
          </cell>
          <cell r="C2275">
            <v>0</v>
          </cell>
          <cell r="D2275">
            <v>6.5</v>
          </cell>
        </row>
        <row r="2276">
          <cell r="A2276">
            <v>3810044</v>
          </cell>
          <cell r="B2276" t="str">
            <v>Equip Monitorkabel DVI-D =&gt; HDMI 3.0m St/St</v>
          </cell>
          <cell r="C2276">
            <v>0</v>
          </cell>
          <cell r="D2276">
            <v>3.5</v>
          </cell>
        </row>
        <row r="2277">
          <cell r="A2277">
            <v>3810053</v>
          </cell>
          <cell r="B2277" t="str">
            <v>Kabel SATA3 50cm intern</v>
          </cell>
          <cell r="C2277">
            <v>485</v>
          </cell>
          <cell r="D2277">
            <v>0.69</v>
          </cell>
        </row>
        <row r="2278">
          <cell r="A2278">
            <v>3810054</v>
          </cell>
          <cell r="B2278" t="str">
            <v>Kabel SATA3 30cm</v>
          </cell>
          <cell r="C2278">
            <v>6</v>
          </cell>
          <cell r="D2278">
            <v>0.95</v>
          </cell>
        </row>
        <row r="2279">
          <cell r="A2279" t="str">
            <v>3810054A</v>
          </cell>
          <cell r="B2279" t="str">
            <v>Kabel SATA-3 6GBs  ca.  30cm intern gerade Clip</v>
          </cell>
          <cell r="C2279">
            <v>0</v>
          </cell>
          <cell r="D2279">
            <v>0</v>
          </cell>
        </row>
        <row r="2280">
          <cell r="A2280">
            <v>3810056</v>
          </cell>
          <cell r="B2280" t="str">
            <v>Kabel SATA3 50cm intern gerader Clip</v>
          </cell>
          <cell r="C2280">
            <v>100</v>
          </cell>
          <cell r="D2280">
            <v>1.1499999999999999</v>
          </cell>
        </row>
        <row r="2281">
          <cell r="A2281">
            <v>3810061</v>
          </cell>
          <cell r="B2281" t="str">
            <v>DeLock Kabel DisplayPort (DP) auf HDMI 0.22m St/Bu</v>
          </cell>
          <cell r="C2281">
            <v>0</v>
          </cell>
          <cell r="D2281">
            <v>6.5</v>
          </cell>
        </row>
        <row r="2282">
          <cell r="A2282">
            <v>3810065</v>
          </cell>
          <cell r="B2282" t="str">
            <v>Kabel DVI 1 Meter</v>
          </cell>
          <cell r="C2282">
            <v>2</v>
          </cell>
          <cell r="D2282">
            <v>2.9</v>
          </cell>
        </row>
        <row r="2283">
          <cell r="A2283">
            <v>3810091</v>
          </cell>
          <cell r="B2283" t="str">
            <v>Kabel Y-Strom 5.25" nach 5.25"+3.5"</v>
          </cell>
          <cell r="C2283">
            <v>882</v>
          </cell>
          <cell r="D2283">
            <v>0.6</v>
          </cell>
        </row>
        <row r="2284">
          <cell r="A2284">
            <v>3810310</v>
          </cell>
          <cell r="B2284" t="str">
            <v>LANCOM  Wireless L-54g</v>
          </cell>
          <cell r="C2284">
            <v>0</v>
          </cell>
          <cell r="D2284">
            <v>218.02</v>
          </cell>
        </row>
        <row r="2285">
          <cell r="A2285">
            <v>3810311</v>
          </cell>
          <cell r="B2285" t="str">
            <v>Wireless LAN Access Point 54 Mbit/s, EN60601</v>
          </cell>
          <cell r="C2285">
            <v>0</v>
          </cell>
          <cell r="D2285">
            <v>287</v>
          </cell>
        </row>
        <row r="2286">
          <cell r="A2286">
            <v>3810362</v>
          </cell>
          <cell r="B2286" t="str">
            <v>LANCOM FUNK AirLancer PCI-54pro</v>
          </cell>
          <cell r="C2286">
            <v>0</v>
          </cell>
          <cell r="D2286">
            <v>76.599999999999994</v>
          </cell>
        </row>
        <row r="2287">
          <cell r="A2287">
            <v>3810363</v>
          </cell>
          <cell r="B2287" t="str">
            <v>LANCOM FUNK AirLancer USB-54pro</v>
          </cell>
          <cell r="C2287">
            <v>0</v>
          </cell>
          <cell r="D2287">
            <v>78</v>
          </cell>
        </row>
        <row r="2288">
          <cell r="A2288">
            <v>3810365</v>
          </cell>
          <cell r="B2288" t="str">
            <v>Wireless LAN USB-Adapter 54 Mbit/s</v>
          </cell>
          <cell r="C2288">
            <v>0</v>
          </cell>
          <cell r="D2288">
            <v>55</v>
          </cell>
        </row>
        <row r="2289">
          <cell r="A2289">
            <v>3830011</v>
          </cell>
          <cell r="B2289" t="str">
            <v>Conceptronic USB 1.0/1.1 SnapPort Hub 4 Ports</v>
          </cell>
          <cell r="C2289">
            <v>0</v>
          </cell>
          <cell r="D2289">
            <v>2.9</v>
          </cell>
        </row>
        <row r="2290">
          <cell r="A2290">
            <v>3830014</v>
          </cell>
          <cell r="B2290" t="str">
            <v>Karte Firewire 1394a PCI 3-Port</v>
          </cell>
          <cell r="C2290">
            <v>4</v>
          </cell>
          <cell r="D2290">
            <v>10.9</v>
          </cell>
        </row>
        <row r="2291">
          <cell r="A2291">
            <v>3830017</v>
          </cell>
          <cell r="B2291" t="str">
            <v>Conceptronic Notebook Sicherungsschloß mit Kabel</v>
          </cell>
          <cell r="C2291">
            <v>0</v>
          </cell>
          <cell r="D2291">
            <v>0</v>
          </cell>
        </row>
        <row r="2292">
          <cell r="A2292">
            <v>3830038</v>
          </cell>
          <cell r="B2292" t="str">
            <v>Conceptronic LAN PCI 10/100/1000 Mbit Karte 32Bit,</v>
          </cell>
          <cell r="C2292">
            <v>0</v>
          </cell>
          <cell r="D2292">
            <v>9.9</v>
          </cell>
        </row>
        <row r="2293">
          <cell r="A2293">
            <v>3830101</v>
          </cell>
          <cell r="B2293" t="str">
            <v>Conceptronic Kabel USB auf seriell, 9/25Pins</v>
          </cell>
          <cell r="C2293">
            <v>0</v>
          </cell>
          <cell r="D2293">
            <v>8.5</v>
          </cell>
        </row>
        <row r="2294">
          <cell r="A2294">
            <v>3830106</v>
          </cell>
          <cell r="B2294" t="str">
            <v>Conceptronic Front Panel 4-Port USB (3.5"+5.25")</v>
          </cell>
          <cell r="C2294">
            <v>0</v>
          </cell>
          <cell r="D2294">
            <v>12</v>
          </cell>
        </row>
        <row r="2295">
          <cell r="A2295">
            <v>3830122</v>
          </cell>
          <cell r="B2295" t="str">
            <v>Conceptronic Wireless USB Adapter 54 Mbps</v>
          </cell>
          <cell r="C2295">
            <v>0</v>
          </cell>
          <cell r="D2295">
            <v>15</v>
          </cell>
        </row>
        <row r="2296">
          <cell r="A2296">
            <v>3830135</v>
          </cell>
          <cell r="B2296" t="str">
            <v>PCI Ser. ATA Controller 1 IDE Port</v>
          </cell>
          <cell r="C2296">
            <v>0</v>
          </cell>
          <cell r="D2296">
            <v>12.5</v>
          </cell>
        </row>
        <row r="2297">
          <cell r="A2297">
            <v>3830151</v>
          </cell>
          <cell r="B2297" t="str">
            <v>Conceptronic USB 2.0 PCI Karte 4 Ports</v>
          </cell>
          <cell r="C2297">
            <v>0</v>
          </cell>
          <cell r="D2297">
            <v>6.9</v>
          </cell>
        </row>
        <row r="2298">
          <cell r="A2298">
            <v>3830154</v>
          </cell>
          <cell r="B2298" t="str">
            <v>Conceptronic USB 2.0 Hub 4 Ports Notebook kompakt</v>
          </cell>
          <cell r="C2298">
            <v>0</v>
          </cell>
          <cell r="D2298">
            <v>5.9</v>
          </cell>
        </row>
        <row r="2299">
          <cell r="A2299">
            <v>3830177</v>
          </cell>
          <cell r="B2299" t="str">
            <v>Conceptronic USB 2.0 CardReader 21-in-1 extern</v>
          </cell>
          <cell r="C2299">
            <v>0</v>
          </cell>
          <cell r="D2299">
            <v>0</v>
          </cell>
        </row>
        <row r="2300">
          <cell r="A2300">
            <v>3830271</v>
          </cell>
          <cell r="B2300" t="str">
            <v>Conceptronic All in One USB 2.0 CardReader extern</v>
          </cell>
          <cell r="C2300">
            <v>0</v>
          </cell>
          <cell r="D2300">
            <v>5</v>
          </cell>
        </row>
        <row r="2301">
          <cell r="A2301">
            <v>3840032</v>
          </cell>
          <cell r="B2301" t="str">
            <v>LevelOne KVM-Switch 2 PC VGA+USB+Audio Black E.</v>
          </cell>
          <cell r="C2301">
            <v>0</v>
          </cell>
          <cell r="D2301">
            <v>27</v>
          </cell>
        </row>
        <row r="2302">
          <cell r="A2302">
            <v>3840033</v>
          </cell>
          <cell r="B2302" t="str">
            <v>LevelOne KVM-Switch  4 PC  VGA+PS/2+Audio Black E.</v>
          </cell>
          <cell r="C2302">
            <v>0</v>
          </cell>
          <cell r="D2302">
            <v>41.9</v>
          </cell>
        </row>
        <row r="2303">
          <cell r="A2303">
            <v>3840036</v>
          </cell>
          <cell r="B2303" t="str">
            <v>LevelOne KVM-Switch 4 PC VGA+USB Black Edition</v>
          </cell>
          <cell r="C2303">
            <v>0</v>
          </cell>
          <cell r="D2303">
            <v>45</v>
          </cell>
        </row>
        <row r="2304">
          <cell r="A2304">
            <v>3910093</v>
          </cell>
          <cell r="B2304" t="str">
            <v>APC Back-UPS CS 500 VA     #BK500EI</v>
          </cell>
          <cell r="C2304">
            <v>0</v>
          </cell>
          <cell r="D2304">
            <v>65</v>
          </cell>
        </row>
        <row r="2305">
          <cell r="A2305">
            <v>3910111</v>
          </cell>
          <cell r="B2305" t="str">
            <v>APC Smart-UPS 1000RM      SUA1000RMI2U</v>
          </cell>
          <cell r="C2305">
            <v>0</v>
          </cell>
          <cell r="D2305">
            <v>365</v>
          </cell>
        </row>
        <row r="2306">
          <cell r="A2306">
            <v>3994360</v>
          </cell>
          <cell r="B2306" t="str">
            <v>Cable USB 2.0 /  3.0m</v>
          </cell>
          <cell r="C2306">
            <v>0</v>
          </cell>
          <cell r="D2306">
            <v>3.5</v>
          </cell>
        </row>
        <row r="2307">
          <cell r="A2307">
            <v>3994363</v>
          </cell>
          <cell r="B2307" t="str">
            <v>Kabel USB 2.0 Verläng. / 1.8m Stecker A / Buchse A</v>
          </cell>
          <cell r="C2307">
            <v>0</v>
          </cell>
          <cell r="D2307">
            <v>0.9</v>
          </cell>
        </row>
        <row r="2308">
          <cell r="A2308">
            <v>3994387</v>
          </cell>
          <cell r="B2308" t="str">
            <v>Equip Kabel USB 2.0 3m Stecker A/Stecker B black</v>
          </cell>
          <cell r="C2308">
            <v>0</v>
          </cell>
          <cell r="D2308">
            <v>0.9</v>
          </cell>
        </row>
        <row r="2309">
          <cell r="A2309">
            <v>3994388</v>
          </cell>
          <cell r="B2309" t="str">
            <v>Kabel USB 2.0 1m Stecker A/Stecker B schwarz</v>
          </cell>
          <cell r="C2309">
            <v>0</v>
          </cell>
          <cell r="D2309">
            <v>0.9</v>
          </cell>
        </row>
        <row r="2310">
          <cell r="A2310">
            <v>3994389</v>
          </cell>
          <cell r="B2310" t="str">
            <v>Equip Kabel USB 2.0 Verläng. 3m SteckerA/BuchseA</v>
          </cell>
          <cell r="C2310">
            <v>0</v>
          </cell>
          <cell r="D2310">
            <v>0.9</v>
          </cell>
        </row>
        <row r="2311">
          <cell r="A2311">
            <v>3994390</v>
          </cell>
          <cell r="B2311" t="str">
            <v>Kabel USB 3.0 Verläng. 2m SteckerA/BuchseA</v>
          </cell>
          <cell r="C2311">
            <v>1</v>
          </cell>
          <cell r="D2311">
            <v>3.5</v>
          </cell>
        </row>
        <row r="2312">
          <cell r="A2312">
            <v>3994392</v>
          </cell>
          <cell r="B2312" t="str">
            <v>Kabel USB 3.0 Verläng. 3m SteckerA/BuchseA</v>
          </cell>
          <cell r="C2312">
            <v>0</v>
          </cell>
          <cell r="D2312">
            <v>3.5</v>
          </cell>
        </row>
        <row r="2313">
          <cell r="A2313" t="str">
            <v>4000001M</v>
          </cell>
          <cell r="B2313" t="str">
            <v>Treiber CD "HistoScanning"</v>
          </cell>
          <cell r="C2313">
            <v>0</v>
          </cell>
          <cell r="D2313">
            <v>1.2</v>
          </cell>
        </row>
        <row r="2314">
          <cell r="A2314" t="str">
            <v>4000002M</v>
          </cell>
          <cell r="B2314" t="str">
            <v>Sony NEC Nero 7.5</v>
          </cell>
          <cell r="C2314">
            <v>0</v>
          </cell>
          <cell r="D2314">
            <v>2.5</v>
          </cell>
        </row>
        <row r="2315">
          <cell r="A2315" t="str">
            <v>4000003M</v>
          </cell>
          <cell r="B2315" t="str">
            <v>ClinScanner Workstation Driver CD</v>
          </cell>
          <cell r="C2315">
            <v>0</v>
          </cell>
          <cell r="D2315">
            <v>0</v>
          </cell>
        </row>
        <row r="2316">
          <cell r="A2316" t="str">
            <v>4000004M</v>
          </cell>
          <cell r="B2316" t="str">
            <v>Treiber CD "HistoScanning G2"</v>
          </cell>
          <cell r="C2316">
            <v>0</v>
          </cell>
          <cell r="D2316">
            <v>0</v>
          </cell>
        </row>
        <row r="2317">
          <cell r="A2317" t="str">
            <v>4000005M</v>
          </cell>
          <cell r="B2317" t="str">
            <v>Driver Disc HistoScanning G3</v>
          </cell>
          <cell r="C2317">
            <v>0</v>
          </cell>
          <cell r="D2317">
            <v>0</v>
          </cell>
        </row>
        <row r="2318">
          <cell r="A2318" t="str">
            <v>4000006M</v>
          </cell>
          <cell r="B2318" t="str">
            <v>Treiber CD AESCU.certus²_AA</v>
          </cell>
          <cell r="C2318">
            <v>0</v>
          </cell>
          <cell r="D2318">
            <v>0</v>
          </cell>
        </row>
        <row r="2319">
          <cell r="A2319">
            <v>4000019</v>
          </cell>
          <cell r="B2319" t="str">
            <v>CD ROH  Verbatim 700MB/ 52x printable 50er-Spindel</v>
          </cell>
          <cell r="C2319">
            <v>0</v>
          </cell>
          <cell r="D2319">
            <v>10.5</v>
          </cell>
        </row>
        <row r="2320">
          <cell r="A2320">
            <v>401</v>
          </cell>
          <cell r="B2320" t="str">
            <v>36 Monate Pickup Notebook</v>
          </cell>
          <cell r="C2320">
            <v>0</v>
          </cell>
          <cell r="D2320">
            <v>75</v>
          </cell>
        </row>
        <row r="2321">
          <cell r="A2321">
            <v>4010047</v>
          </cell>
          <cell r="B2321" t="str">
            <v>Cartridge Fuji LTO Cleaning UCC</v>
          </cell>
          <cell r="C2321">
            <v>0</v>
          </cell>
          <cell r="D2321">
            <v>39</v>
          </cell>
        </row>
        <row r="2322">
          <cell r="A2322">
            <v>4010064</v>
          </cell>
          <cell r="B2322" t="str">
            <v>Cartridge Fuji LTO2 Ultrium 200/400GB</v>
          </cell>
          <cell r="C2322">
            <v>0</v>
          </cell>
          <cell r="D2322">
            <v>17.5</v>
          </cell>
        </row>
        <row r="2323">
          <cell r="A2323">
            <v>4020009</v>
          </cell>
          <cell r="B2323" t="str">
            <v>Cartridge Sony AIT-2  SDX2-50C      50/130GB</v>
          </cell>
          <cell r="C2323">
            <v>0</v>
          </cell>
          <cell r="D2323">
            <v>36.5</v>
          </cell>
        </row>
        <row r="2324">
          <cell r="A2324">
            <v>4030039</v>
          </cell>
          <cell r="B2324" t="str">
            <v>Cartridge Imation RDX  160GB</v>
          </cell>
          <cell r="C2324">
            <v>0</v>
          </cell>
          <cell r="D2324">
            <v>69.900000000000006</v>
          </cell>
        </row>
        <row r="2325">
          <cell r="A2325">
            <v>404</v>
          </cell>
          <cell r="B2325" t="str">
            <v>Pickup-Service 36 Monate</v>
          </cell>
          <cell r="C2325">
            <v>0</v>
          </cell>
          <cell r="D2325">
            <v>0</v>
          </cell>
        </row>
        <row r="2326">
          <cell r="A2326">
            <v>405</v>
          </cell>
          <cell r="B2326" t="str">
            <v>Pickupservice 24 Monate</v>
          </cell>
          <cell r="C2326">
            <v>0</v>
          </cell>
          <cell r="D2326">
            <v>15</v>
          </cell>
        </row>
        <row r="2327">
          <cell r="A2327" t="str">
            <v>4100001M</v>
          </cell>
          <cell r="B2327" t="str">
            <v>Windows 7 Embedded Standard 7P WES7P</v>
          </cell>
          <cell r="C2327">
            <v>298</v>
          </cell>
          <cell r="D2327">
            <v>100</v>
          </cell>
        </row>
        <row r="2328">
          <cell r="A2328" t="str">
            <v>4100002M</v>
          </cell>
          <cell r="B2328" t="str">
            <v>Windows 7 Emb. Standard 7P WES7P KST Beistellware</v>
          </cell>
          <cell r="C2328">
            <v>0</v>
          </cell>
          <cell r="D2328">
            <v>0</v>
          </cell>
        </row>
        <row r="2329">
          <cell r="A2329" t="str">
            <v>4100003M</v>
          </cell>
          <cell r="B2329" t="str">
            <v>KARL STORZ OR1 Fusion License W23036-01</v>
          </cell>
          <cell r="C2329">
            <v>0</v>
          </cell>
          <cell r="D2329">
            <v>0</v>
          </cell>
        </row>
        <row r="2330">
          <cell r="A2330">
            <v>4190010</v>
          </cell>
          <cell r="B2330" t="str">
            <v>Lüfter Gehäuse  80x80x25mm</v>
          </cell>
          <cell r="C2330">
            <v>0</v>
          </cell>
          <cell r="D2330">
            <v>12</v>
          </cell>
        </row>
        <row r="2331">
          <cell r="A2331">
            <v>4190012</v>
          </cell>
          <cell r="B2331" t="str">
            <v>Gehäuse Chenbro PC607/PC303 Lüfterhalter hinten</v>
          </cell>
          <cell r="C2331">
            <v>28</v>
          </cell>
          <cell r="D2331">
            <v>0.75</v>
          </cell>
        </row>
        <row r="2332">
          <cell r="A2332">
            <v>4197896</v>
          </cell>
          <cell r="B2332" t="str">
            <v>Einbaukit 2.5" NB-HDD Universal (Bügel+Adapter)***</v>
          </cell>
          <cell r="C2332">
            <v>0</v>
          </cell>
          <cell r="D2332">
            <v>5</v>
          </cell>
        </row>
        <row r="2333">
          <cell r="A2333">
            <v>4197924</v>
          </cell>
          <cell r="B2333" t="str">
            <v>Einbaurahmen 2.5" HDD/SSD in 3.5" Schacht</v>
          </cell>
          <cell r="C2333">
            <v>190</v>
          </cell>
          <cell r="D2333">
            <v>2.9</v>
          </cell>
        </row>
        <row r="2334">
          <cell r="A2334">
            <v>4610009</v>
          </cell>
          <cell r="B2334" t="str">
            <v>AVM FRITZ!Card PCI V2.1</v>
          </cell>
          <cell r="C2334">
            <v>0</v>
          </cell>
          <cell r="D2334">
            <v>53.9</v>
          </cell>
        </row>
        <row r="2335">
          <cell r="A2335">
            <v>4610020</v>
          </cell>
          <cell r="B2335" t="str">
            <v>AVM FRITZ!Card PCI V2.1 Low-Profile bulk</v>
          </cell>
          <cell r="C2335">
            <v>0</v>
          </cell>
          <cell r="D2335">
            <v>49.5</v>
          </cell>
        </row>
        <row r="2336">
          <cell r="A2336">
            <v>4610058</v>
          </cell>
          <cell r="B2336" t="str">
            <v>AVM FRITZ!WLAN USB Stick / Stick &amp; Surf</v>
          </cell>
          <cell r="C2336">
            <v>0</v>
          </cell>
          <cell r="D2336">
            <v>22</v>
          </cell>
        </row>
        <row r="2337">
          <cell r="A2337">
            <v>4902248</v>
          </cell>
          <cell r="B2337" t="str">
            <v>Cartridge Fuji DG 125 M / 4mm /24,00GB/ DDS-3</v>
          </cell>
          <cell r="C2337">
            <v>0</v>
          </cell>
          <cell r="D2337">
            <v>3</v>
          </cell>
        </row>
        <row r="2338">
          <cell r="A2338" t="str">
            <v>5000001M</v>
          </cell>
          <cell r="B2338" t="str">
            <v>LogiLink Wireless N USB 2.0 Adapter</v>
          </cell>
          <cell r="C2338">
            <v>0</v>
          </cell>
          <cell r="D2338">
            <v>0</v>
          </cell>
        </row>
        <row r="2339">
          <cell r="A2339" t="str">
            <v>5000002M</v>
          </cell>
          <cell r="B2339" t="str">
            <v>Fire-i Digital Kamera</v>
          </cell>
          <cell r="C2339">
            <v>0</v>
          </cell>
          <cell r="D2339">
            <v>99</v>
          </cell>
        </row>
        <row r="2340">
          <cell r="A2340" t="str">
            <v>5000003M</v>
          </cell>
          <cell r="B2340" t="str">
            <v>DVD Rekorder LG RH698H</v>
          </cell>
          <cell r="C2340">
            <v>0</v>
          </cell>
          <cell r="D2340">
            <v>222.3</v>
          </cell>
        </row>
        <row r="2341">
          <cell r="A2341">
            <v>5000020</v>
          </cell>
          <cell r="B2341" t="str">
            <v>Kyocera FS-1030D</v>
          </cell>
          <cell r="C2341">
            <v>0</v>
          </cell>
          <cell r="D2341">
            <v>198</v>
          </cell>
        </row>
        <row r="2342">
          <cell r="A2342">
            <v>501</v>
          </cell>
          <cell r="B2342" t="str">
            <v xml:space="preserve"> LCD Garantie 48 Monate</v>
          </cell>
          <cell r="C2342">
            <v>0</v>
          </cell>
          <cell r="D2342">
            <v>10</v>
          </cell>
        </row>
        <row r="2343">
          <cell r="A2343" t="str">
            <v>51000002M</v>
          </cell>
          <cell r="B2343" t="str">
            <v>IP68 Tastatur hellgrau, deutsch, USB</v>
          </cell>
          <cell r="C2343">
            <v>0</v>
          </cell>
          <cell r="D2343">
            <v>152.13</v>
          </cell>
        </row>
        <row r="2344">
          <cell r="A2344" t="str">
            <v>51000003M</v>
          </cell>
          <cell r="B2344" t="str">
            <v>IP68 Maus, hellgrau, deutsch, USB</v>
          </cell>
          <cell r="C2344">
            <v>0</v>
          </cell>
          <cell r="D2344">
            <v>82.58</v>
          </cell>
        </row>
        <row r="2345">
          <cell r="A2345" t="str">
            <v>51000004M</v>
          </cell>
          <cell r="B2345" t="str">
            <v>SlimStar 320 - wasserfeste Tastatur</v>
          </cell>
          <cell r="C2345">
            <v>0</v>
          </cell>
          <cell r="D2345">
            <v>11.08</v>
          </cell>
        </row>
        <row r="2346">
          <cell r="A2346" t="str">
            <v>51000005M</v>
          </cell>
          <cell r="B2346" t="str">
            <v>MEDIGENIC Set - Hygiene Tastatur u. Maus</v>
          </cell>
          <cell r="C2346">
            <v>0</v>
          </cell>
          <cell r="D2346">
            <v>198</v>
          </cell>
        </row>
        <row r="2347">
          <cell r="A2347" t="str">
            <v>51000006M</v>
          </cell>
          <cell r="B2347" t="str">
            <v>Logitech Cordless Presenter</v>
          </cell>
          <cell r="C2347">
            <v>0</v>
          </cell>
          <cell r="D2347">
            <v>36.299999999999997</v>
          </cell>
        </row>
        <row r="2348">
          <cell r="A2348" t="str">
            <v>51000007M</v>
          </cell>
          <cell r="B2348" t="str">
            <v>MEDIGENIC Essentiel - Hygiene Tastatur</v>
          </cell>
          <cell r="C2348">
            <v>0</v>
          </cell>
          <cell r="D2348">
            <v>139.74</v>
          </cell>
        </row>
        <row r="2349">
          <cell r="A2349" t="str">
            <v>51000008M</v>
          </cell>
          <cell r="B2349" t="str">
            <v>MEDIGENIC Maus - Hygiene Maus</v>
          </cell>
          <cell r="C2349">
            <v>0</v>
          </cell>
          <cell r="D2349">
            <v>70</v>
          </cell>
        </row>
        <row r="2350">
          <cell r="A2350" t="str">
            <v>51000009M</v>
          </cell>
          <cell r="B2350" t="str">
            <v>Tastatur Cherry G84-4100 UK hellgrau</v>
          </cell>
          <cell r="C2350">
            <v>0</v>
          </cell>
          <cell r="D2350">
            <v>35.799999999999997</v>
          </cell>
        </row>
        <row r="2351">
          <cell r="A2351" t="str">
            <v>51000010M</v>
          </cell>
          <cell r="B2351" t="str">
            <v>MEDIGENIC Essential Tastatur, German, ohne Maus</v>
          </cell>
          <cell r="C2351">
            <v>0</v>
          </cell>
          <cell r="D2351">
            <v>130</v>
          </cell>
        </row>
        <row r="2352">
          <cell r="A2352" t="str">
            <v>5100001M</v>
          </cell>
          <cell r="B2352" t="str">
            <v>Set - Keybord (engl.) + Mouse, grey</v>
          </cell>
          <cell r="C2352">
            <v>0</v>
          </cell>
          <cell r="D2352">
            <v>184.8</v>
          </cell>
        </row>
        <row r="2353">
          <cell r="A2353" t="str">
            <v>5100008M</v>
          </cell>
          <cell r="B2353" t="str">
            <v>5 Tasten Maus- IP geschützt, grau</v>
          </cell>
          <cell r="C2353">
            <v>0</v>
          </cell>
          <cell r="D2353">
            <v>64</v>
          </cell>
        </row>
        <row r="2354">
          <cell r="A2354" t="str">
            <v>5100009M</v>
          </cell>
          <cell r="B2354" t="str">
            <v>IP Tastatur, grau</v>
          </cell>
          <cell r="C2354">
            <v>0</v>
          </cell>
          <cell r="D2354">
            <v>128.80000000000001</v>
          </cell>
        </row>
        <row r="2355">
          <cell r="A2355" t="str">
            <v>5100010M</v>
          </cell>
          <cell r="B2355" t="str">
            <v>Mighty Mouse 5 - IP geschützte Maus, grau</v>
          </cell>
          <cell r="C2355">
            <v>8</v>
          </cell>
          <cell r="D2355">
            <v>58.96</v>
          </cell>
        </row>
        <row r="2356">
          <cell r="A2356" t="str">
            <v>5100011M</v>
          </cell>
          <cell r="B2356" t="str">
            <v>Really Cool, IP geschützte Tastatur, grau</v>
          </cell>
          <cell r="C2356">
            <v>1</v>
          </cell>
          <cell r="D2356">
            <v>118.59</v>
          </cell>
        </row>
        <row r="2357">
          <cell r="A2357" t="str">
            <v>5100012M</v>
          </cell>
          <cell r="B2357" t="str">
            <v>Slim Cool, IP geschützte Tastatur, grau</v>
          </cell>
          <cell r="C2357">
            <v>3</v>
          </cell>
          <cell r="D2357">
            <v>115.91</v>
          </cell>
        </row>
        <row r="2358">
          <cell r="A2358" t="str">
            <v>5100013M</v>
          </cell>
          <cell r="B2358" t="str">
            <v>Slim Cool + Touch DE, white, IP68</v>
          </cell>
          <cell r="C2358">
            <v>0</v>
          </cell>
          <cell r="D2358">
            <v>162.13999999999999</v>
          </cell>
        </row>
        <row r="2359">
          <cell r="A2359" t="str">
            <v>5100014M</v>
          </cell>
          <cell r="B2359" t="str">
            <v>Slim Cool, IP geschütze Tastatur, grau, ENGLISCH</v>
          </cell>
          <cell r="C2359">
            <v>0</v>
          </cell>
          <cell r="D2359">
            <v>125.6</v>
          </cell>
        </row>
        <row r="2360">
          <cell r="A2360" t="str">
            <v>5100015M</v>
          </cell>
          <cell r="B2360" t="str">
            <v>Slim Cool, IP geschütze Tastatur/grau/FRANZÖSISCH</v>
          </cell>
          <cell r="C2360">
            <v>0</v>
          </cell>
          <cell r="D2360">
            <v>125.6</v>
          </cell>
        </row>
        <row r="2361">
          <cell r="A2361" t="str">
            <v>5100016M</v>
          </cell>
          <cell r="B2361" t="str">
            <v>Tastatur InduProof, deutsch, schwarz, USB</v>
          </cell>
          <cell r="C2361">
            <v>0</v>
          </cell>
          <cell r="D2361">
            <v>149.18</v>
          </cell>
        </row>
        <row r="2362">
          <cell r="A2362" t="str">
            <v>5100017M</v>
          </cell>
          <cell r="B2362" t="str">
            <v>Petite Mouse - IP geschütze Maus, grau</v>
          </cell>
          <cell r="C2362">
            <v>0</v>
          </cell>
          <cell r="D2362">
            <v>58.96</v>
          </cell>
        </row>
        <row r="2363">
          <cell r="A2363" t="str">
            <v>5100018M</v>
          </cell>
          <cell r="B2363" t="str">
            <v>Gryphon I M4130 Komplettset anthrazit</v>
          </cell>
          <cell r="C2363">
            <v>1</v>
          </cell>
          <cell r="D2363">
            <v>351.58</v>
          </cell>
        </row>
        <row r="2364">
          <cell r="A2364" t="str">
            <v>5100019M</v>
          </cell>
          <cell r="B2364" t="str">
            <v>Folienabgedeckte Funkkurzhubtastatur</v>
          </cell>
          <cell r="C2364">
            <v>0</v>
          </cell>
          <cell r="D2364">
            <v>438.1</v>
          </cell>
        </row>
        <row r="2365">
          <cell r="A2365" t="str">
            <v>5100020M</v>
          </cell>
          <cell r="B2365" t="str">
            <v>Slim Cool, IP geschütze Tastatur, grau, PS2</v>
          </cell>
          <cell r="C2365">
            <v>0</v>
          </cell>
          <cell r="D2365">
            <v>123.28</v>
          </cell>
        </row>
        <row r="2366">
          <cell r="A2366" t="str">
            <v>5100021M</v>
          </cell>
          <cell r="B2366" t="str">
            <v>Slim Cool, IP geschütze Tastatur, schwarz</v>
          </cell>
          <cell r="C2366">
            <v>0</v>
          </cell>
          <cell r="D2366">
            <v>115.91</v>
          </cell>
        </row>
        <row r="2367">
          <cell r="A2367" t="str">
            <v>5100022M</v>
          </cell>
          <cell r="B2367" t="str">
            <v>Mighty Mouse 5 - IP geschütze Maus,grau</v>
          </cell>
          <cell r="C2367">
            <v>0</v>
          </cell>
          <cell r="D2367">
            <v>61.6</v>
          </cell>
        </row>
        <row r="2368">
          <cell r="A2368" t="str">
            <v>5100023M</v>
          </cell>
          <cell r="B2368" t="str">
            <v>Really Cool, IP geschützte Tastatur, grau, BL</v>
          </cell>
          <cell r="C2368">
            <v>0</v>
          </cell>
          <cell r="D2368">
            <v>155.44</v>
          </cell>
        </row>
        <row r="2369">
          <cell r="A2369" t="str">
            <v>5100024M</v>
          </cell>
          <cell r="B2369" t="str">
            <v>Really Cool, IP geschützte Tastatur, schwarz, BL</v>
          </cell>
          <cell r="C2369">
            <v>0</v>
          </cell>
          <cell r="D2369">
            <v>184.92</v>
          </cell>
        </row>
        <row r="2370">
          <cell r="A2370" t="str">
            <v>5100025M</v>
          </cell>
          <cell r="B2370" t="str">
            <v>Really Cool, IP geschützte Tastatur, grau, PS2</v>
          </cell>
          <cell r="C2370">
            <v>0</v>
          </cell>
          <cell r="D2370">
            <v>125.96</v>
          </cell>
        </row>
        <row r="2371">
          <cell r="A2371" t="str">
            <v>5100026M</v>
          </cell>
          <cell r="B2371" t="str">
            <v>Really Cool, IP geschützte Tastatur, schwarz, PS2</v>
          </cell>
          <cell r="C2371">
            <v>0</v>
          </cell>
          <cell r="D2371">
            <v>125.96</v>
          </cell>
        </row>
        <row r="2372">
          <cell r="A2372" t="str">
            <v>5100027M</v>
          </cell>
          <cell r="B2372" t="str">
            <v>Really Cool, IP geschützte Tastatur, grau,BL, PS2</v>
          </cell>
          <cell r="C2372">
            <v>0</v>
          </cell>
          <cell r="D2372">
            <v>123.9</v>
          </cell>
        </row>
        <row r="2373">
          <cell r="A2373" t="str">
            <v>5100028M</v>
          </cell>
          <cell r="B2373" t="str">
            <v>Really Cool, IP geschützte Tastatur, schw, BL, PS2</v>
          </cell>
          <cell r="C2373">
            <v>0</v>
          </cell>
          <cell r="D2373">
            <v>200.9</v>
          </cell>
        </row>
        <row r="2374">
          <cell r="A2374" t="str">
            <v>5100029M</v>
          </cell>
          <cell r="B2374" t="str">
            <v>Really Cool Bluetooth Keyboard, IP geschützt, grau</v>
          </cell>
          <cell r="C2374">
            <v>0</v>
          </cell>
          <cell r="D2374">
            <v>162.4</v>
          </cell>
        </row>
        <row r="2375">
          <cell r="A2375" t="str">
            <v>5100030M</v>
          </cell>
          <cell r="B2375" t="str">
            <v>Really Cool Bluetooth Keyboard, IP geschützt,gr,BL</v>
          </cell>
          <cell r="C2375">
            <v>0</v>
          </cell>
          <cell r="D2375">
            <v>162.4</v>
          </cell>
        </row>
        <row r="2376">
          <cell r="A2376" t="str">
            <v>5100031M</v>
          </cell>
          <cell r="B2376" t="str">
            <v>Really Cool Bluetooth Keyboard,IP geschützt,gr,PS2</v>
          </cell>
          <cell r="C2376">
            <v>0</v>
          </cell>
          <cell r="D2376">
            <v>162.4</v>
          </cell>
        </row>
        <row r="2377">
          <cell r="A2377" t="str">
            <v>5100032M</v>
          </cell>
          <cell r="B2377" t="str">
            <v>Really Bluetooth Keyboard, IP geschützt, BL, PS2</v>
          </cell>
          <cell r="C2377">
            <v>0</v>
          </cell>
          <cell r="D2377">
            <v>162.4</v>
          </cell>
        </row>
        <row r="2378">
          <cell r="A2378" t="str">
            <v>5100033M</v>
          </cell>
          <cell r="B2378" t="str">
            <v>Really Cool, IP geschütze Tastatur, schwarz</v>
          </cell>
          <cell r="C2378">
            <v>0</v>
          </cell>
          <cell r="D2378">
            <v>118.59</v>
          </cell>
        </row>
        <row r="2379">
          <cell r="A2379" t="str">
            <v>5100034M</v>
          </cell>
          <cell r="B2379" t="str">
            <v>Slim Cool, IP geschütze Tastatur, grau, BL</v>
          </cell>
          <cell r="C2379">
            <v>0</v>
          </cell>
          <cell r="D2379">
            <v>152.76</v>
          </cell>
        </row>
        <row r="2380">
          <cell r="A2380" t="str">
            <v>5100035M</v>
          </cell>
          <cell r="B2380" t="str">
            <v>Slim Cool, IP geschütze Tastatur, grau, BL, PS2</v>
          </cell>
          <cell r="C2380">
            <v>0</v>
          </cell>
          <cell r="D2380">
            <v>121.1</v>
          </cell>
        </row>
        <row r="2381">
          <cell r="A2381" t="str">
            <v>5100036M</v>
          </cell>
          <cell r="B2381" t="str">
            <v>Slim Cool, IP geschütze Tastatur, schwarz, BL</v>
          </cell>
          <cell r="C2381">
            <v>0</v>
          </cell>
          <cell r="D2381">
            <v>182.24</v>
          </cell>
        </row>
        <row r="2382">
          <cell r="A2382" t="str">
            <v>5100037M</v>
          </cell>
          <cell r="B2382" t="str">
            <v>Slim Cool, IP geschütze Tastatur, schwarz, PS2</v>
          </cell>
          <cell r="C2382">
            <v>0</v>
          </cell>
          <cell r="D2382">
            <v>123.28</v>
          </cell>
        </row>
        <row r="2383">
          <cell r="A2383" t="str">
            <v>5100038M</v>
          </cell>
          <cell r="B2383" t="str">
            <v>Slim Cool, IP geschütze Tastatur, schwarz, BL, PS2</v>
          </cell>
          <cell r="C2383">
            <v>0</v>
          </cell>
          <cell r="D2383">
            <v>121.1</v>
          </cell>
        </row>
        <row r="2384">
          <cell r="A2384" t="str">
            <v>5100039M</v>
          </cell>
          <cell r="B2384" t="str">
            <v>Slim Cool +, IP geschütze Tastatur, grau, BL</v>
          </cell>
          <cell r="C2384">
            <v>0</v>
          </cell>
          <cell r="D2384">
            <v>198.99</v>
          </cell>
        </row>
        <row r="2385">
          <cell r="A2385" t="str">
            <v>5100040M</v>
          </cell>
          <cell r="B2385" t="str">
            <v>Slim Cool +, IP geschütze Tastatur, grau, PS2</v>
          </cell>
          <cell r="C2385">
            <v>0</v>
          </cell>
          <cell r="D2385">
            <v>169.51</v>
          </cell>
        </row>
        <row r="2386">
          <cell r="A2386" t="str">
            <v>5100041M</v>
          </cell>
          <cell r="B2386" t="str">
            <v>Slim Cool +, IP geschütze Tastatur, grau, BL, PS2</v>
          </cell>
          <cell r="C2386">
            <v>0</v>
          </cell>
          <cell r="D2386">
            <v>169.4</v>
          </cell>
        </row>
        <row r="2387">
          <cell r="A2387" t="str">
            <v>5100042M</v>
          </cell>
          <cell r="B2387" t="str">
            <v>Slim Cool +, IP geschütze Tastatur, schwarz, BL</v>
          </cell>
          <cell r="C2387">
            <v>0</v>
          </cell>
          <cell r="D2387">
            <v>169.4</v>
          </cell>
        </row>
        <row r="2388">
          <cell r="A2388" t="str">
            <v>5100043M</v>
          </cell>
          <cell r="B2388" t="str">
            <v>Slim Cool +, IP geschütze Tastatur, schwarz, PS2</v>
          </cell>
          <cell r="C2388">
            <v>0</v>
          </cell>
          <cell r="D2388">
            <v>169.4</v>
          </cell>
        </row>
        <row r="2389">
          <cell r="A2389" t="str">
            <v>5100044M</v>
          </cell>
          <cell r="B2389" t="str">
            <v>Slim Cool +, IP geschütze Tastatur, schwarz</v>
          </cell>
          <cell r="C2389">
            <v>0</v>
          </cell>
          <cell r="D2389">
            <v>169.4</v>
          </cell>
        </row>
        <row r="2390">
          <cell r="A2390" t="str">
            <v>5100045M</v>
          </cell>
          <cell r="B2390" t="str">
            <v>Slim Cool +, IP geschütze Tastatur,schwarz, BL,PS2</v>
          </cell>
          <cell r="C2390">
            <v>0</v>
          </cell>
          <cell r="D2390">
            <v>169.4</v>
          </cell>
        </row>
        <row r="2391">
          <cell r="A2391" t="str">
            <v>5100046M</v>
          </cell>
          <cell r="B2391" t="str">
            <v>Really Cool TP, IP geschütze Tastatur grau</v>
          </cell>
          <cell r="C2391">
            <v>1</v>
          </cell>
          <cell r="D2391">
            <v>164.82</v>
          </cell>
        </row>
        <row r="2392">
          <cell r="A2392" t="str">
            <v>5100047M</v>
          </cell>
          <cell r="B2392" t="str">
            <v>Really Cool TP, IP geschütze Tastatur grau, BL</v>
          </cell>
          <cell r="C2392">
            <v>0</v>
          </cell>
          <cell r="D2392">
            <v>201.67</v>
          </cell>
        </row>
        <row r="2393">
          <cell r="A2393" t="str">
            <v>5100048M</v>
          </cell>
          <cell r="B2393" t="str">
            <v>Really Cool TP, IP geschütze Tastatur grau, PS2</v>
          </cell>
          <cell r="C2393">
            <v>0</v>
          </cell>
          <cell r="D2393">
            <v>172.2</v>
          </cell>
        </row>
        <row r="2394">
          <cell r="A2394" t="str">
            <v>5100049M</v>
          </cell>
          <cell r="B2394" t="str">
            <v>Really Cool TP, IP geschütze Tastatur grau, BL,PS2</v>
          </cell>
          <cell r="C2394">
            <v>0</v>
          </cell>
          <cell r="D2394">
            <v>172.2</v>
          </cell>
        </row>
        <row r="2395">
          <cell r="A2395" t="str">
            <v>5100050M</v>
          </cell>
          <cell r="B2395" t="str">
            <v>Really Cool LP, IP geschützte Tastatur grau</v>
          </cell>
          <cell r="C2395">
            <v>2</v>
          </cell>
          <cell r="D2395">
            <v>118.59</v>
          </cell>
        </row>
        <row r="2396">
          <cell r="A2396" t="str">
            <v>5100051M</v>
          </cell>
          <cell r="B2396" t="str">
            <v>Really Cool LP, IP geschützte Tastatur grau, BL</v>
          </cell>
          <cell r="C2396">
            <v>0</v>
          </cell>
          <cell r="D2396">
            <v>155.44</v>
          </cell>
        </row>
        <row r="2397">
          <cell r="A2397" t="str">
            <v>5100052M</v>
          </cell>
          <cell r="B2397" t="str">
            <v>Really Cool LP, IP geschütze Tastatur grau, PS2</v>
          </cell>
          <cell r="C2397">
            <v>0</v>
          </cell>
          <cell r="D2397">
            <v>123.9</v>
          </cell>
        </row>
        <row r="2398">
          <cell r="A2398" t="str">
            <v>5100053M</v>
          </cell>
          <cell r="B2398" t="str">
            <v>Really Cool LP, IP geschütze Tastatur grau,BL, PS2</v>
          </cell>
          <cell r="C2398">
            <v>0</v>
          </cell>
          <cell r="D2398">
            <v>170.1</v>
          </cell>
        </row>
        <row r="2399">
          <cell r="A2399" t="str">
            <v>5100054M</v>
          </cell>
          <cell r="B2399" t="str">
            <v>Mighty Mouse5, IP geschützte Maus, schwarz</v>
          </cell>
          <cell r="C2399">
            <v>0</v>
          </cell>
          <cell r="D2399">
            <v>58.96</v>
          </cell>
        </row>
        <row r="2400">
          <cell r="A2400" t="str">
            <v>5100055M</v>
          </cell>
          <cell r="B2400" t="str">
            <v>Petite Mouse, IP geschützte Maus, schwarz</v>
          </cell>
          <cell r="C2400">
            <v>0</v>
          </cell>
          <cell r="D2400">
            <v>58.96</v>
          </cell>
        </row>
        <row r="2401">
          <cell r="A2401" t="str">
            <v>5100056M</v>
          </cell>
          <cell r="B2401" t="str">
            <v>Really Cool IP geschützte Tastatur grau BL Magnet</v>
          </cell>
          <cell r="C2401">
            <v>0</v>
          </cell>
          <cell r="D2401">
            <v>177.8</v>
          </cell>
        </row>
        <row r="2402">
          <cell r="A2402" t="str">
            <v>5100057M</v>
          </cell>
          <cell r="B2402" t="str">
            <v>Hygienische Mouse Pads (5er Pack, neutral)</v>
          </cell>
          <cell r="C2402">
            <v>16</v>
          </cell>
          <cell r="D2402">
            <v>14.74</v>
          </cell>
        </row>
        <row r="2403">
          <cell r="A2403" t="str">
            <v>5100058M</v>
          </cell>
          <cell r="B2403" t="str">
            <v>Really Cool, IP geschützte Tastatur, grau, UK</v>
          </cell>
          <cell r="C2403">
            <v>0</v>
          </cell>
          <cell r="D2403">
            <v>115.05</v>
          </cell>
        </row>
        <row r="2404">
          <cell r="A2404" t="str">
            <v>5100059M</v>
          </cell>
          <cell r="B2404" t="str">
            <v>Really Cool, IP geschützte Tastatur, schwarz, UK</v>
          </cell>
          <cell r="C2404">
            <v>0</v>
          </cell>
          <cell r="D2404">
            <v>155.05000000000001</v>
          </cell>
        </row>
        <row r="2405">
          <cell r="A2405" t="str">
            <v>5100060M</v>
          </cell>
          <cell r="B2405" t="str">
            <v>Really Cool Touch, white, IP68</v>
          </cell>
          <cell r="C2405">
            <v>1</v>
          </cell>
          <cell r="D2405">
            <v>164.82</v>
          </cell>
        </row>
        <row r="2406">
          <cell r="A2406" t="str">
            <v>5100061M</v>
          </cell>
          <cell r="B2406" t="str">
            <v>Really Cool TP, IP geschütze Tastatur schwarz, UK</v>
          </cell>
          <cell r="C2406">
            <v>0</v>
          </cell>
          <cell r="D2406">
            <v>159.9</v>
          </cell>
        </row>
        <row r="2407">
          <cell r="A2407" t="str">
            <v>5100062M</v>
          </cell>
          <cell r="B2407" t="str">
            <v>Slim Cool +, IP geschütze Tastatur, schwarz, UK</v>
          </cell>
          <cell r="C2407">
            <v>0</v>
          </cell>
          <cell r="D2407">
            <v>112.45</v>
          </cell>
        </row>
        <row r="2408">
          <cell r="A2408" t="str">
            <v>5100063M</v>
          </cell>
          <cell r="B2408" t="str">
            <v>Slim Cool +, IP geschütze Tastatur, grau, UK</v>
          </cell>
          <cell r="C2408">
            <v>0</v>
          </cell>
          <cell r="D2408">
            <v>112.45</v>
          </cell>
        </row>
        <row r="2409">
          <cell r="A2409" t="str">
            <v>5100064M</v>
          </cell>
          <cell r="B2409" t="str">
            <v>Really Cool Bluetooth Keyboard, IP geschützt,gr,UK</v>
          </cell>
          <cell r="C2409">
            <v>0</v>
          </cell>
          <cell r="D2409">
            <v>150.80000000000001</v>
          </cell>
        </row>
        <row r="2410">
          <cell r="A2410" t="str">
            <v>5100065M</v>
          </cell>
          <cell r="B2410" t="str">
            <v>Mighty Mouse Bluetooth, grau</v>
          </cell>
          <cell r="C2410">
            <v>0</v>
          </cell>
          <cell r="D2410">
            <v>91.7</v>
          </cell>
        </row>
        <row r="2411">
          <cell r="A2411" t="str">
            <v>5100066M</v>
          </cell>
          <cell r="B2411" t="str">
            <v>Mighty Mouse Bluetooth, schwarz</v>
          </cell>
          <cell r="C2411">
            <v>0</v>
          </cell>
          <cell r="D2411">
            <v>91.7</v>
          </cell>
        </row>
        <row r="2412">
          <cell r="A2412" t="str">
            <v>5100067M</v>
          </cell>
          <cell r="B2412" t="str">
            <v>B Cool Tastatur, grau</v>
          </cell>
          <cell r="C2412">
            <v>0</v>
          </cell>
          <cell r="D2412">
            <v>60.9</v>
          </cell>
        </row>
        <row r="2413">
          <cell r="A2413" t="str">
            <v>5100068M</v>
          </cell>
          <cell r="B2413" t="str">
            <v>B Cool Tastatur, grey, UK</v>
          </cell>
          <cell r="C2413">
            <v>0</v>
          </cell>
          <cell r="D2413">
            <v>60.9</v>
          </cell>
        </row>
        <row r="2414">
          <cell r="A2414" t="str">
            <v>5100069M</v>
          </cell>
          <cell r="B2414" t="str">
            <v>U Cool Tastatur, grau</v>
          </cell>
          <cell r="C2414">
            <v>0</v>
          </cell>
          <cell r="D2414">
            <v>60.9</v>
          </cell>
        </row>
        <row r="2415">
          <cell r="A2415" t="str">
            <v>5100070M</v>
          </cell>
          <cell r="B2415" t="str">
            <v>U Cool Tastatur, grey, UK</v>
          </cell>
          <cell r="C2415">
            <v>0</v>
          </cell>
          <cell r="D2415">
            <v>60.9</v>
          </cell>
        </row>
        <row r="2416">
          <cell r="A2416" t="str">
            <v>5100071M</v>
          </cell>
          <cell r="B2416" t="str">
            <v>U Cool Tastatur, schwarz</v>
          </cell>
          <cell r="C2416">
            <v>0</v>
          </cell>
          <cell r="D2416">
            <v>60.9</v>
          </cell>
        </row>
        <row r="2417">
          <cell r="A2417" t="str">
            <v>5100072M</v>
          </cell>
          <cell r="B2417" t="str">
            <v>U Cool Tastatur, black, UK</v>
          </cell>
          <cell r="C2417">
            <v>0</v>
          </cell>
          <cell r="D2417">
            <v>60.9</v>
          </cell>
        </row>
        <row r="2418">
          <cell r="A2418" t="str">
            <v>5100073M</v>
          </cell>
          <cell r="B2418" t="str">
            <v>Flexible HotTooth Tastatur, schwarz</v>
          </cell>
          <cell r="C2418">
            <v>0</v>
          </cell>
          <cell r="D2418">
            <v>86.1</v>
          </cell>
        </row>
        <row r="2419">
          <cell r="A2419" t="str">
            <v>5100074M</v>
          </cell>
          <cell r="B2419" t="str">
            <v>Cool Mir Blackberry Tastatur, schwarz</v>
          </cell>
          <cell r="C2419">
            <v>0</v>
          </cell>
          <cell r="D2419">
            <v>86.1</v>
          </cell>
        </row>
        <row r="2420">
          <cell r="A2420" t="str">
            <v>5100075M</v>
          </cell>
          <cell r="B2420" t="str">
            <v>Really Cool, IP geschützte Tastatur, grau, BL, MAG</v>
          </cell>
          <cell r="C2420">
            <v>0</v>
          </cell>
          <cell r="D2420">
            <v>170.18</v>
          </cell>
        </row>
        <row r="2421">
          <cell r="A2421" t="str">
            <v>5100076M</v>
          </cell>
          <cell r="B2421" t="str">
            <v>MEDIGENIC Maus - Hygiene Maus</v>
          </cell>
          <cell r="C2421">
            <v>0</v>
          </cell>
          <cell r="D2421">
            <v>71</v>
          </cell>
        </row>
        <row r="2422">
          <cell r="A2422" t="str">
            <v>5100077M</v>
          </cell>
          <cell r="B2422" t="str">
            <v>Really Cool, IP geschützte Tastatur, grau, MAG</v>
          </cell>
          <cell r="C2422">
            <v>0</v>
          </cell>
          <cell r="D2422">
            <v>133.33000000000001</v>
          </cell>
        </row>
        <row r="2423">
          <cell r="A2423" t="str">
            <v>5100078M</v>
          </cell>
          <cell r="B2423" t="str">
            <v>Really Cool TP, IP geschützte Tastatur, grau, MAG</v>
          </cell>
          <cell r="C2423">
            <v>0</v>
          </cell>
          <cell r="D2423">
            <v>179.56</v>
          </cell>
        </row>
        <row r="2424">
          <cell r="A2424" t="str">
            <v>5100079M</v>
          </cell>
          <cell r="B2424" t="str">
            <v>Really Cool LP, IP geschütze Tastatur grau</v>
          </cell>
          <cell r="C2424">
            <v>0</v>
          </cell>
          <cell r="D2424">
            <v>118.59</v>
          </cell>
        </row>
        <row r="2425">
          <cell r="A2425" t="str">
            <v>5100080M</v>
          </cell>
          <cell r="B2425" t="str">
            <v>Really Cool Touch LP DE, white, IP68</v>
          </cell>
          <cell r="C2425">
            <v>2</v>
          </cell>
          <cell r="D2425">
            <v>164.82</v>
          </cell>
        </row>
        <row r="2426">
          <cell r="A2426" t="str">
            <v>5100081M</v>
          </cell>
          <cell r="B2426" t="str">
            <v>Interphone Remotecontrol IP67</v>
          </cell>
          <cell r="C2426">
            <v>0</v>
          </cell>
          <cell r="D2426">
            <v>54.25</v>
          </cell>
        </row>
        <row r="2427">
          <cell r="A2427" t="str">
            <v>5100082M</v>
          </cell>
          <cell r="B2427" t="str">
            <v>Einbautouchpad 49x65mm , USB</v>
          </cell>
          <cell r="C2427">
            <v>0</v>
          </cell>
          <cell r="D2427">
            <v>27</v>
          </cell>
        </row>
        <row r="2428">
          <cell r="A2428" t="str">
            <v>5100083M</v>
          </cell>
          <cell r="B2428" t="str">
            <v>Button-Modul für Einbautouchpad</v>
          </cell>
          <cell r="C2428">
            <v>0</v>
          </cell>
          <cell r="D2428">
            <v>4.2</v>
          </cell>
        </row>
        <row r="2429">
          <cell r="A2429" t="str">
            <v>5100084M</v>
          </cell>
          <cell r="B2429" t="str">
            <v>Raymarine Remotecontrol RCU-3 Bluetooth</v>
          </cell>
          <cell r="C2429">
            <v>0</v>
          </cell>
          <cell r="D2429">
            <v>100</v>
          </cell>
        </row>
        <row r="2430">
          <cell r="A2430" t="str">
            <v>5100085M</v>
          </cell>
          <cell r="B2430" t="str">
            <v>Einbautastatur USB, 245,5x107,5x10mm, IP65</v>
          </cell>
          <cell r="C2430">
            <v>3</v>
          </cell>
          <cell r="D2430">
            <v>95.15</v>
          </cell>
        </row>
        <row r="2431">
          <cell r="A2431" t="str">
            <v>5100086M</v>
          </cell>
          <cell r="B2431" t="str">
            <v>Einbautouchpad, IP65, 135x110x12,5mm</v>
          </cell>
          <cell r="C2431">
            <v>1</v>
          </cell>
          <cell r="D2431">
            <v>107.4</v>
          </cell>
        </row>
        <row r="2432">
          <cell r="A2432" t="str">
            <v>5100087M</v>
          </cell>
          <cell r="B2432" t="str">
            <v>Really Cool, IP geschützte Tastatur, schwarz BE</v>
          </cell>
          <cell r="C2432">
            <v>0</v>
          </cell>
          <cell r="D2432">
            <v>118.59</v>
          </cell>
        </row>
        <row r="2433">
          <cell r="A2433" t="str">
            <v>5100088M</v>
          </cell>
          <cell r="B2433" t="str">
            <v>Keyboard HistoScanning G2 QWERTY (US)</v>
          </cell>
          <cell r="C2433">
            <v>0</v>
          </cell>
          <cell r="D2433">
            <v>0</v>
          </cell>
        </row>
        <row r="2434">
          <cell r="A2434" t="str">
            <v>5100089M</v>
          </cell>
          <cell r="B2434" t="str">
            <v>Keyboard HistoScanning G2 AZERTY (FR)</v>
          </cell>
          <cell r="C2434">
            <v>0</v>
          </cell>
          <cell r="D2434">
            <v>0</v>
          </cell>
        </row>
        <row r="2435">
          <cell r="A2435" t="str">
            <v>5100090M</v>
          </cell>
          <cell r="B2435" t="str">
            <v>Keyboard HistoScanning G2 QWERTY (EN)</v>
          </cell>
          <cell r="C2435">
            <v>0</v>
          </cell>
          <cell r="D2435">
            <v>0</v>
          </cell>
        </row>
        <row r="2436">
          <cell r="A2436" t="str">
            <v>5100091M</v>
          </cell>
          <cell r="B2436" t="str">
            <v>Keyboard HistoScanning G2 AZERTY (IT)</v>
          </cell>
          <cell r="C2436">
            <v>0</v>
          </cell>
          <cell r="D2436">
            <v>0</v>
          </cell>
        </row>
        <row r="2437">
          <cell r="A2437" t="str">
            <v>5100092M</v>
          </cell>
          <cell r="B2437" t="str">
            <v>Keyboard HistoScanning G2 QWERTZ (DE)</v>
          </cell>
          <cell r="C2437">
            <v>0</v>
          </cell>
          <cell r="D2437">
            <v>0</v>
          </cell>
        </row>
        <row r="2438">
          <cell r="A2438" t="str">
            <v>5100093M</v>
          </cell>
          <cell r="B2438" t="str">
            <v>Keyboard HistoScanning G2 AZERTY (SP)</v>
          </cell>
          <cell r="C2438">
            <v>0</v>
          </cell>
          <cell r="D2438">
            <v>0</v>
          </cell>
        </row>
        <row r="2439">
          <cell r="A2439" t="str">
            <v>5100094M</v>
          </cell>
          <cell r="B2439" t="str">
            <v>Trackball L50 Ø 50mm HistoScanning G3</v>
          </cell>
          <cell r="C2439">
            <v>0</v>
          </cell>
          <cell r="D2439">
            <v>156.1</v>
          </cell>
        </row>
        <row r="2440">
          <cell r="A2440" t="str">
            <v>5100095M</v>
          </cell>
          <cell r="B2440" t="str">
            <v>Drucktaster Ø17mm HistoScanning G3</v>
          </cell>
          <cell r="C2440">
            <v>49</v>
          </cell>
          <cell r="D2440">
            <v>8.8000000000000007</v>
          </cell>
        </row>
        <row r="2441">
          <cell r="A2441" t="str">
            <v>5100096M</v>
          </cell>
          <cell r="B2441" t="str">
            <v>Einbautastatur USB, 245,5x107,5x10mm, IP65 US Layo</v>
          </cell>
          <cell r="C2441">
            <v>18</v>
          </cell>
          <cell r="D2441">
            <v>105.8</v>
          </cell>
        </row>
        <row r="2442">
          <cell r="A2442" t="str">
            <v>5100097M</v>
          </cell>
          <cell r="B2442" t="str">
            <v>Trackball L50 Ø 50mm HistoScanning G3 RAL9002</v>
          </cell>
          <cell r="C2442">
            <v>23</v>
          </cell>
          <cell r="D2442">
            <v>155.4</v>
          </cell>
        </row>
        <row r="2443">
          <cell r="A2443" t="str">
            <v>5100098M</v>
          </cell>
          <cell r="B2443" t="str">
            <v>Tastatur, weiß, IP68, K1-MED-USB-GER</v>
          </cell>
          <cell r="C2443">
            <v>1</v>
          </cell>
          <cell r="D2443">
            <v>98</v>
          </cell>
        </row>
        <row r="2444">
          <cell r="A2444" t="str">
            <v>5100099M</v>
          </cell>
          <cell r="B2444" t="str">
            <v>Tastatur, weiß, AK-C4100</v>
          </cell>
          <cell r="C2444">
            <v>0</v>
          </cell>
          <cell r="D2444">
            <v>0</v>
          </cell>
        </row>
        <row r="2445">
          <cell r="A2445" t="str">
            <v>5100100M</v>
          </cell>
          <cell r="B2445" t="str">
            <v>Tastatur, weiß, PK-KBC-01049</v>
          </cell>
          <cell r="C2445">
            <v>0</v>
          </cell>
          <cell r="D2445">
            <v>0</v>
          </cell>
        </row>
        <row r="2446">
          <cell r="A2446" t="str">
            <v>5110001M</v>
          </cell>
          <cell r="B2446" t="str">
            <v>Mousepad MCD desinfizierbar</v>
          </cell>
          <cell r="C2446">
            <v>449</v>
          </cell>
          <cell r="D2446">
            <v>2.86</v>
          </cell>
        </row>
        <row r="2447">
          <cell r="A2447" t="str">
            <v>5200001M</v>
          </cell>
          <cell r="B2447" t="str">
            <v>MCD Vision Line  17" TFT Display, unbedruckt</v>
          </cell>
          <cell r="C2447">
            <v>0</v>
          </cell>
          <cell r="D2447">
            <v>236</v>
          </cell>
        </row>
        <row r="2448">
          <cell r="A2448" t="str">
            <v>5200002M</v>
          </cell>
          <cell r="B2448" t="str">
            <v>MCD EIZO RadiForce GS220, 2MP</v>
          </cell>
          <cell r="C2448">
            <v>0</v>
          </cell>
          <cell r="D2448">
            <v>3170</v>
          </cell>
        </row>
        <row r="2449">
          <cell r="A2449" t="str">
            <v>5200003M</v>
          </cell>
          <cell r="B2449" t="str">
            <v>19" non medical LCD MQ219, Standfuß</v>
          </cell>
          <cell r="C2449">
            <v>0</v>
          </cell>
          <cell r="D2449">
            <v>555</v>
          </cell>
        </row>
        <row r="2450">
          <cell r="A2450" t="str">
            <v>5200004M</v>
          </cell>
          <cell r="B2450" t="str">
            <v>15" non medical USB Touch LCD MQ215, VESA</v>
          </cell>
          <cell r="C2450">
            <v>0</v>
          </cell>
          <cell r="D2450">
            <v>475</v>
          </cell>
        </row>
        <row r="2451">
          <cell r="A2451" t="str">
            <v>5200005M</v>
          </cell>
          <cell r="B2451" t="str">
            <v>19" Medical Display EV-C119</v>
          </cell>
          <cell r="C2451">
            <v>0</v>
          </cell>
          <cell r="D2451">
            <v>1659</v>
          </cell>
        </row>
        <row r="2452">
          <cell r="A2452" t="str">
            <v>5200006M</v>
          </cell>
          <cell r="B2452" t="str">
            <v>19" Farb-LCD mit resistivem Touch</v>
          </cell>
          <cell r="C2452">
            <v>0</v>
          </cell>
          <cell r="D2452">
            <v>479</v>
          </cell>
        </row>
        <row r="2453">
          <cell r="A2453" t="str">
            <v>5200007M</v>
          </cell>
          <cell r="B2453" t="str">
            <v>MCD Medical Line 17" IP65 Display</v>
          </cell>
          <cell r="C2453">
            <v>0</v>
          </cell>
          <cell r="D2453">
            <v>1582</v>
          </cell>
        </row>
        <row r="2454">
          <cell r="A2454" t="str">
            <v>5200008M</v>
          </cell>
          <cell r="B2454" t="str">
            <v>MCD Medical Line 19" IP65 Display</v>
          </cell>
          <cell r="C2454">
            <v>0</v>
          </cell>
          <cell r="D2454">
            <v>1636</v>
          </cell>
        </row>
        <row r="2455">
          <cell r="A2455" t="str">
            <v>5200009M</v>
          </cell>
          <cell r="B2455" t="str">
            <v>MCD Medical Line 21" IP65 Display</v>
          </cell>
          <cell r="C2455">
            <v>0</v>
          </cell>
          <cell r="D2455">
            <v>2375</v>
          </cell>
        </row>
        <row r="2456">
          <cell r="A2456" t="str">
            <v>5200010M</v>
          </cell>
          <cell r="B2456" t="str">
            <v>MCD Medical Line 19" IP65 Display ENDO</v>
          </cell>
          <cell r="C2456">
            <v>0</v>
          </cell>
          <cell r="D2456">
            <v>2803</v>
          </cell>
        </row>
        <row r="2457">
          <cell r="A2457" t="str">
            <v>5200011M</v>
          </cell>
          <cell r="B2457" t="str">
            <v>MCD Medical Line 21" IP65 Display ENDO</v>
          </cell>
          <cell r="C2457">
            <v>0</v>
          </cell>
          <cell r="D2457">
            <v>3606</v>
          </cell>
        </row>
        <row r="2458">
          <cell r="A2458" t="str">
            <v>5200012M</v>
          </cell>
          <cell r="B2458" t="str">
            <v>MCD Medical Line 42" IP65 Display</v>
          </cell>
          <cell r="C2458">
            <v>0</v>
          </cell>
          <cell r="D2458">
            <v>3518</v>
          </cell>
        </row>
        <row r="2459">
          <cell r="A2459" t="str">
            <v>5200013M</v>
          </cell>
          <cell r="B2459" t="str">
            <v>MCD Medical Line 42" IP65 Display HD-prepared</v>
          </cell>
          <cell r="C2459">
            <v>0</v>
          </cell>
          <cell r="D2459">
            <v>4046</v>
          </cell>
        </row>
        <row r="2460">
          <cell r="A2460" t="str">
            <v>5200014M</v>
          </cell>
          <cell r="B2460" t="str">
            <v>MCD Medical Line 42"  Display</v>
          </cell>
          <cell r="C2460">
            <v>0</v>
          </cell>
          <cell r="D2460">
            <v>3436</v>
          </cell>
        </row>
        <row r="2461">
          <cell r="A2461" t="str">
            <v>5200015M</v>
          </cell>
          <cell r="B2461" t="str">
            <v>MCD Medical Line 42"  Display HD-prepared</v>
          </cell>
          <cell r="C2461">
            <v>0</v>
          </cell>
          <cell r="D2461">
            <v>3958</v>
          </cell>
        </row>
        <row r="2462">
          <cell r="A2462" t="str">
            <v>5200016M</v>
          </cell>
          <cell r="B2462" t="str">
            <v>Sony VPL-ES5 3LCD Projektor 2000ANSIlum</v>
          </cell>
          <cell r="C2462">
            <v>0</v>
          </cell>
          <cell r="D2462">
            <v>350</v>
          </cell>
        </row>
        <row r="2463">
          <cell r="A2463" t="str">
            <v>5200017M</v>
          </cell>
          <cell r="B2463" t="str">
            <v>19" Medical LCD MQ219, VESA -VGA-, EN60601</v>
          </cell>
          <cell r="C2463">
            <v>0</v>
          </cell>
          <cell r="D2463">
            <v>550</v>
          </cell>
        </row>
        <row r="2464">
          <cell r="A2464" t="str">
            <v>5200018M</v>
          </cell>
          <cell r="B2464" t="str">
            <v>MCD Vision Line  19" TFT Display, unbedruckt</v>
          </cell>
          <cell r="C2464">
            <v>0</v>
          </cell>
          <cell r="D2464">
            <v>260</v>
          </cell>
        </row>
        <row r="2465">
          <cell r="A2465" t="str">
            <v>5200019M</v>
          </cell>
          <cell r="B2465" t="str">
            <v>AG Neovo ER 19 - schwarz</v>
          </cell>
          <cell r="C2465">
            <v>0</v>
          </cell>
          <cell r="D2465">
            <v>2100</v>
          </cell>
        </row>
        <row r="2466">
          <cell r="A2466" t="str">
            <v>5200020M</v>
          </cell>
          <cell r="B2466" t="str">
            <v>AG Neovo ER 19 - weiß</v>
          </cell>
          <cell r="C2466">
            <v>0</v>
          </cell>
          <cell r="D2466">
            <v>2100</v>
          </cell>
        </row>
        <row r="2467">
          <cell r="A2467" t="str">
            <v>5200021M</v>
          </cell>
          <cell r="B2467" t="str">
            <v>MDView212 -  21" LCD Display</v>
          </cell>
          <cell r="C2467">
            <v>0</v>
          </cell>
          <cell r="D2467">
            <v>772</v>
          </cell>
        </row>
        <row r="2468">
          <cell r="A2468" t="str">
            <v>5200022M</v>
          </cell>
          <cell r="B2468" t="str">
            <v>AG Neovo DR 17</v>
          </cell>
          <cell r="C2468">
            <v>0</v>
          </cell>
          <cell r="D2468">
            <v>435</v>
          </cell>
        </row>
        <row r="2469">
          <cell r="A2469" t="str">
            <v>5200023M</v>
          </cell>
          <cell r="B2469" t="str">
            <v>MQ215 Solar, 15" Medical LCD, Standfuss</v>
          </cell>
          <cell r="C2469">
            <v>0</v>
          </cell>
          <cell r="D2469">
            <v>495</v>
          </cell>
        </row>
        <row r="2470">
          <cell r="A2470" t="str">
            <v>5200024M</v>
          </cell>
          <cell r="B2470" t="str">
            <v>15"  USB Touch Medical LCD MQ215, VESA, EN60601</v>
          </cell>
          <cell r="C2470">
            <v>0</v>
          </cell>
          <cell r="D2470">
            <v>520</v>
          </cell>
        </row>
        <row r="2471">
          <cell r="A2471" t="str">
            <v>5200025M</v>
          </cell>
          <cell r="B2471" t="str">
            <v>15"  USB Touch Medical LCD MQ215, Standfuß,EN60601</v>
          </cell>
          <cell r="C2471">
            <v>0</v>
          </cell>
          <cell r="D2471">
            <v>550</v>
          </cell>
        </row>
        <row r="2472">
          <cell r="A2472" t="str">
            <v>5200026M</v>
          </cell>
          <cell r="B2472" t="str">
            <v>19" Medical LCD MQ219, STAND -VGA- EN60601</v>
          </cell>
          <cell r="C2472">
            <v>0</v>
          </cell>
          <cell r="D2472">
            <v>590</v>
          </cell>
        </row>
        <row r="2473">
          <cell r="A2473" t="str">
            <v>5200027M</v>
          </cell>
          <cell r="B2473" t="str">
            <v>15" non medical ser. Touch LCD MQ215, VESA</v>
          </cell>
          <cell r="C2473">
            <v>0</v>
          </cell>
          <cell r="D2473">
            <v>525</v>
          </cell>
        </row>
        <row r="2474">
          <cell r="A2474" t="str">
            <v>5200028M</v>
          </cell>
          <cell r="B2474" t="str">
            <v>15" non medical ser. Touch LCD MQ215, Standfuß</v>
          </cell>
          <cell r="C2474">
            <v>0</v>
          </cell>
          <cell r="D2474">
            <v>545</v>
          </cell>
        </row>
        <row r="2475">
          <cell r="A2475" t="str">
            <v>5200029M</v>
          </cell>
          <cell r="B2475" t="str">
            <v>15" non medical USB Touch LCD MQ215, Standfuß</v>
          </cell>
          <cell r="C2475">
            <v>0</v>
          </cell>
          <cell r="D2475">
            <v>495</v>
          </cell>
        </row>
        <row r="2476">
          <cell r="A2476" t="str">
            <v>5200030M</v>
          </cell>
          <cell r="B2476" t="str">
            <v>19" non medical LCD MQ219,-VGA-</v>
          </cell>
          <cell r="C2476">
            <v>0</v>
          </cell>
          <cell r="D2476">
            <v>505</v>
          </cell>
        </row>
        <row r="2477">
          <cell r="A2477" t="str">
            <v>5200031M</v>
          </cell>
          <cell r="B2477" t="str">
            <v>19" non medical LCD MQ219, -VGA-, Standfuß</v>
          </cell>
          <cell r="C2477">
            <v>0</v>
          </cell>
          <cell r="D2477">
            <v>535</v>
          </cell>
        </row>
        <row r="2478">
          <cell r="A2478" t="str">
            <v>5200032M</v>
          </cell>
          <cell r="B2478" t="str">
            <v>19" non medical LCD MQ219, VESA75</v>
          </cell>
          <cell r="C2478">
            <v>0</v>
          </cell>
          <cell r="D2478">
            <v>525</v>
          </cell>
        </row>
        <row r="2479">
          <cell r="A2479" t="str">
            <v>5200033M</v>
          </cell>
          <cell r="B2479" t="str">
            <v>19" non medical Touch LCD MQ219, VESA</v>
          </cell>
          <cell r="C2479">
            <v>0</v>
          </cell>
          <cell r="D2479">
            <v>765</v>
          </cell>
        </row>
        <row r="2480">
          <cell r="A2480" t="str">
            <v>5200034M</v>
          </cell>
          <cell r="B2480" t="str">
            <v>19" non medical Touch LCD MQ219, Standfuß</v>
          </cell>
          <cell r="C2480">
            <v>0</v>
          </cell>
          <cell r="D2480">
            <v>795</v>
          </cell>
        </row>
        <row r="2481">
          <cell r="A2481" t="str">
            <v>5200035M</v>
          </cell>
          <cell r="B2481" t="str">
            <v>Radiance 26", Full MMI, Fiber</v>
          </cell>
          <cell r="C2481">
            <v>0</v>
          </cell>
          <cell r="D2481">
            <v>2448.2199999999998</v>
          </cell>
        </row>
        <row r="2482">
          <cell r="A2482" t="str">
            <v>5200036M</v>
          </cell>
          <cell r="B2482" t="str">
            <v>Radiance 26", Full MMI</v>
          </cell>
          <cell r="C2482">
            <v>0</v>
          </cell>
          <cell r="D2482">
            <v>2165.69</v>
          </cell>
        </row>
        <row r="2483">
          <cell r="A2483" t="str">
            <v>5200037M</v>
          </cell>
          <cell r="B2483" t="str">
            <v>Radiance 19" HD</v>
          </cell>
          <cell r="C2483">
            <v>0</v>
          </cell>
          <cell r="D2483">
            <v>1976.87</v>
          </cell>
        </row>
        <row r="2484">
          <cell r="A2484" t="str">
            <v>5200038M</v>
          </cell>
          <cell r="B2484" t="str">
            <v>SplitScreen 92, 2x2 46 Zoll</v>
          </cell>
          <cell r="C2484">
            <v>0</v>
          </cell>
          <cell r="D2484">
            <v>7936</v>
          </cell>
        </row>
        <row r="2485">
          <cell r="A2485" t="str">
            <v>5200039M</v>
          </cell>
          <cell r="B2485" t="str">
            <v>E2c-1 System</v>
          </cell>
          <cell r="C2485">
            <v>0</v>
          </cell>
          <cell r="D2485">
            <v>2142.86</v>
          </cell>
        </row>
        <row r="2486">
          <cell r="A2486" t="str">
            <v>5200040M</v>
          </cell>
          <cell r="B2486" t="str">
            <v>E2c-2 System</v>
          </cell>
          <cell r="C2486">
            <v>0</v>
          </cell>
          <cell r="D2486">
            <v>4060.15</v>
          </cell>
        </row>
        <row r="2487">
          <cell r="A2487" t="str">
            <v>5200041M</v>
          </cell>
          <cell r="B2487" t="str">
            <v>E3cHB-1 System</v>
          </cell>
          <cell r="C2487">
            <v>0</v>
          </cell>
          <cell r="D2487">
            <v>4473.68</v>
          </cell>
        </row>
        <row r="2488">
          <cell r="A2488" t="str">
            <v>5200042M</v>
          </cell>
          <cell r="B2488" t="str">
            <v>E3cHB-2 System</v>
          </cell>
          <cell r="C2488">
            <v>0</v>
          </cell>
          <cell r="D2488">
            <v>7332.33</v>
          </cell>
        </row>
        <row r="2489">
          <cell r="A2489" t="str">
            <v>5200043M</v>
          </cell>
          <cell r="B2489" t="str">
            <v>E4c-1 System</v>
          </cell>
          <cell r="C2489">
            <v>0</v>
          </cell>
          <cell r="D2489">
            <v>4200</v>
          </cell>
        </row>
        <row r="2490">
          <cell r="A2490" t="str">
            <v>5200044M</v>
          </cell>
          <cell r="B2490" t="str">
            <v>E2-1 System</v>
          </cell>
          <cell r="C2490">
            <v>0</v>
          </cell>
          <cell r="D2490">
            <v>3003.76</v>
          </cell>
        </row>
        <row r="2491">
          <cell r="A2491" t="str">
            <v>5200045M</v>
          </cell>
          <cell r="B2491" t="str">
            <v>E2-2 System</v>
          </cell>
          <cell r="C2491">
            <v>0</v>
          </cell>
          <cell r="D2491">
            <v>5187.97</v>
          </cell>
        </row>
        <row r="2492">
          <cell r="A2492" t="str">
            <v>5200046M</v>
          </cell>
          <cell r="B2492" t="str">
            <v>E3-1 System</v>
          </cell>
          <cell r="C2492">
            <v>0</v>
          </cell>
          <cell r="D2492">
            <v>4011.28</v>
          </cell>
        </row>
        <row r="2493">
          <cell r="A2493" t="str">
            <v>5200047M</v>
          </cell>
          <cell r="B2493" t="str">
            <v>E3-2 System</v>
          </cell>
          <cell r="C2493">
            <v>0</v>
          </cell>
          <cell r="D2493">
            <v>7126.32</v>
          </cell>
        </row>
        <row r="2494">
          <cell r="A2494" t="str">
            <v>5200048M</v>
          </cell>
          <cell r="B2494" t="str">
            <v>E5-1 System</v>
          </cell>
          <cell r="C2494">
            <v>0</v>
          </cell>
          <cell r="D2494">
            <v>7126.32</v>
          </cell>
        </row>
        <row r="2495">
          <cell r="A2495" t="str">
            <v>5200049M</v>
          </cell>
          <cell r="B2495" t="str">
            <v>E5-2 System</v>
          </cell>
          <cell r="C2495">
            <v>0</v>
          </cell>
          <cell r="D2495">
            <v>11863.16</v>
          </cell>
        </row>
        <row r="2496">
          <cell r="A2496" t="str">
            <v>5200050M</v>
          </cell>
          <cell r="B2496" t="str">
            <v>NDSsi GX2MP-1, NX290x16</v>
          </cell>
          <cell r="C2496">
            <v>0</v>
          </cell>
          <cell r="D2496">
            <v>514.88</v>
          </cell>
        </row>
        <row r="2497">
          <cell r="A2497" t="str">
            <v>5200051M</v>
          </cell>
          <cell r="B2497" t="str">
            <v>GX2MP-2 System</v>
          </cell>
          <cell r="C2497">
            <v>0</v>
          </cell>
          <cell r="D2497">
            <v>1458.65</v>
          </cell>
        </row>
        <row r="2498">
          <cell r="A2498" t="str">
            <v>5200052M</v>
          </cell>
          <cell r="B2498" t="str">
            <v>LCM-1750 BNC Display Itochu</v>
          </cell>
          <cell r="C2498">
            <v>0</v>
          </cell>
          <cell r="D2498">
            <v>225</v>
          </cell>
        </row>
        <row r="2499">
          <cell r="A2499" t="str">
            <v>5200053M</v>
          </cell>
          <cell r="B2499" t="str">
            <v>GX2MP-1 n.G.a.</v>
          </cell>
          <cell r="C2499">
            <v>0</v>
          </cell>
          <cell r="D2499">
            <v>562.70000000000005</v>
          </cell>
        </row>
        <row r="2500">
          <cell r="A2500" t="str">
            <v>5200054M</v>
          </cell>
          <cell r="B2500" t="str">
            <v>NDSsi Radiance 19", Full MMI</v>
          </cell>
          <cell r="C2500">
            <v>0</v>
          </cell>
          <cell r="D2500">
            <v>1786.78</v>
          </cell>
        </row>
        <row r="2501">
          <cell r="A2501" t="str">
            <v>5200055M</v>
          </cell>
          <cell r="B2501" t="str">
            <v>NDSsi Radiance 24", Full MMI</v>
          </cell>
          <cell r="C2501">
            <v>0</v>
          </cell>
          <cell r="D2501">
            <v>2324.3200000000002</v>
          </cell>
        </row>
        <row r="2502">
          <cell r="A2502" t="str">
            <v>5200056M</v>
          </cell>
          <cell r="B2502" t="str">
            <v>NDSsi Radiance 24", Full MMI, Fiber</v>
          </cell>
          <cell r="C2502">
            <v>0</v>
          </cell>
          <cell r="D2502">
            <v>2685.76</v>
          </cell>
        </row>
        <row r="2503">
          <cell r="A2503" t="str">
            <v>5200057M</v>
          </cell>
          <cell r="B2503" t="str">
            <v>NDSsi Radiance 32", FHD full MMI</v>
          </cell>
          <cell r="C2503">
            <v>0</v>
          </cell>
          <cell r="D2503">
            <v>3562.19</v>
          </cell>
        </row>
        <row r="2504">
          <cell r="A2504" t="str">
            <v>5200058M</v>
          </cell>
          <cell r="B2504" t="str">
            <v>NDSsi Radiance 32", FHD full MMI, Fiber</v>
          </cell>
          <cell r="C2504">
            <v>0</v>
          </cell>
          <cell r="D2504">
            <v>3905.45</v>
          </cell>
        </row>
        <row r="2505">
          <cell r="A2505" t="str">
            <v>5200059M</v>
          </cell>
          <cell r="B2505" t="str">
            <v>NDSsi Radiance 42" FHD Full MMI, Fiber</v>
          </cell>
          <cell r="C2505">
            <v>0</v>
          </cell>
          <cell r="D2505">
            <v>4271.58</v>
          </cell>
        </row>
        <row r="2506">
          <cell r="A2506" t="str">
            <v>5200060M</v>
          </cell>
          <cell r="B2506" t="str">
            <v>NDSsi Radiance 55", LED, Fiber, Touch, ZeroWire</v>
          </cell>
          <cell r="C2506">
            <v>0</v>
          </cell>
          <cell r="D2506">
            <v>6500.43</v>
          </cell>
        </row>
        <row r="2507">
          <cell r="A2507" t="str">
            <v>5200061M</v>
          </cell>
          <cell r="B2507" t="str">
            <v>EndoVue 24" Display</v>
          </cell>
          <cell r="C2507">
            <v>0</v>
          </cell>
          <cell r="D2507">
            <v>1985.72</v>
          </cell>
        </row>
        <row r="2508">
          <cell r="A2508" t="str">
            <v>5200062M</v>
          </cell>
          <cell r="B2508" t="str">
            <v>Display 19"  Desktop TN)</v>
          </cell>
          <cell r="C2508">
            <v>0</v>
          </cell>
          <cell r="D2508">
            <v>219</v>
          </cell>
        </row>
        <row r="2509">
          <cell r="A2509" t="str">
            <v>5200063M</v>
          </cell>
          <cell r="B2509" t="str">
            <v>EndoVue 19" Display</v>
          </cell>
          <cell r="C2509">
            <v>0</v>
          </cell>
          <cell r="D2509">
            <v>1479.25</v>
          </cell>
        </row>
        <row r="2510">
          <cell r="A2510" t="str">
            <v>5200064M</v>
          </cell>
          <cell r="B2510" t="str">
            <v>EndoVue 15" Display</v>
          </cell>
          <cell r="C2510">
            <v>0</v>
          </cell>
          <cell r="D2510">
            <v>1315.79</v>
          </cell>
        </row>
        <row r="2511">
          <cell r="A2511" t="str">
            <v>5200065M</v>
          </cell>
          <cell r="B2511" t="str">
            <v>1928L 19" Medical Desktop</v>
          </cell>
          <cell r="C2511">
            <v>0</v>
          </cell>
          <cell r="D2511">
            <v>585</v>
          </cell>
        </row>
        <row r="2512">
          <cell r="A2512" t="str">
            <v>5200066M</v>
          </cell>
          <cell r="B2512" t="str">
            <v>Sony LMD-2450 MD</v>
          </cell>
          <cell r="C2512">
            <v>0</v>
          </cell>
          <cell r="D2512">
            <v>3590</v>
          </cell>
        </row>
        <row r="2513">
          <cell r="A2513" t="str">
            <v>5200067M</v>
          </cell>
          <cell r="B2513" t="str">
            <v>Radiance 55", LED, Fiber</v>
          </cell>
          <cell r="C2513">
            <v>0</v>
          </cell>
          <cell r="D2513">
            <v>5581.43</v>
          </cell>
        </row>
        <row r="2514">
          <cell r="A2514" t="str">
            <v>5200068M</v>
          </cell>
          <cell r="B2514" t="str">
            <v>19 2 Vital Screen, resistiver Touch</v>
          </cell>
          <cell r="C2514">
            <v>0</v>
          </cell>
          <cell r="D2514">
            <v>608.83000000000004</v>
          </cell>
        </row>
        <row r="2515">
          <cell r="A2515" t="str">
            <v>5200069M</v>
          </cell>
          <cell r="B2515" t="str">
            <v>15" LifeVue, V3 Resistive, Audio</v>
          </cell>
          <cell r="C2515">
            <v>0</v>
          </cell>
          <cell r="D2515">
            <v>0</v>
          </cell>
        </row>
        <row r="2516">
          <cell r="A2516" t="str">
            <v>5200070M</v>
          </cell>
          <cell r="B2516" t="str">
            <v>Intouch DP215FS026CL172-04 PCAP</v>
          </cell>
          <cell r="C2516">
            <v>0</v>
          </cell>
          <cell r="D2516">
            <v>282.60000000000002</v>
          </cell>
        </row>
        <row r="2517">
          <cell r="A2517" t="str">
            <v>5200072M</v>
          </cell>
          <cell r="B2517" t="str">
            <v>15" MQ2156M, Open Frame mit Schutzscheibe</v>
          </cell>
          <cell r="C2517">
            <v>0</v>
          </cell>
          <cell r="D2517">
            <v>350</v>
          </cell>
        </row>
        <row r="2518">
          <cell r="A2518" t="str">
            <v>5200073M</v>
          </cell>
          <cell r="B2518" t="str">
            <v>ZeroWire DVI+SDI Duo TX/RX Set</v>
          </cell>
          <cell r="C2518">
            <v>0</v>
          </cell>
          <cell r="D2518">
            <v>0</v>
          </cell>
        </row>
        <row r="2519">
          <cell r="A2519" t="str">
            <v>5200074M</v>
          </cell>
          <cell r="B2519" t="str">
            <v>NDSsi EndoVue 24"</v>
          </cell>
          <cell r="C2519">
            <v>0</v>
          </cell>
          <cell r="D2519">
            <v>0</v>
          </cell>
        </row>
        <row r="2520">
          <cell r="A2520" t="str">
            <v>5200075M</v>
          </cell>
          <cell r="B2520" t="str">
            <v>Radiance 24", Full MMI, w/touch</v>
          </cell>
          <cell r="C2520">
            <v>0</v>
          </cell>
          <cell r="D2520">
            <v>2905</v>
          </cell>
        </row>
        <row r="2521">
          <cell r="A2521" t="str">
            <v>5200076M</v>
          </cell>
          <cell r="B2521" t="str">
            <v>Radiance 24", Full MMI, w/fiber, w/touch</v>
          </cell>
          <cell r="C2521">
            <v>0</v>
          </cell>
          <cell r="D2521">
            <v>3218</v>
          </cell>
        </row>
        <row r="2522">
          <cell r="A2522" t="str">
            <v>5200077M</v>
          </cell>
          <cell r="B2522" t="str">
            <v>NDSsi Radiance 26", G2</v>
          </cell>
          <cell r="C2522">
            <v>0</v>
          </cell>
          <cell r="D2522">
            <v>2662.16</v>
          </cell>
        </row>
        <row r="2523">
          <cell r="A2523" t="str">
            <v>5200078M</v>
          </cell>
          <cell r="B2523" t="str">
            <v>NDSsi Radiance 26", G2, fiber</v>
          </cell>
          <cell r="C2523">
            <v>0</v>
          </cell>
          <cell r="D2523">
            <v>3029.01</v>
          </cell>
        </row>
        <row r="2524">
          <cell r="A2524" t="str">
            <v>5200079M</v>
          </cell>
          <cell r="B2524" t="str">
            <v>Barco Display MDRC-1119 AMD</v>
          </cell>
          <cell r="C2524">
            <v>0</v>
          </cell>
          <cell r="D2524">
            <v>481.23</v>
          </cell>
        </row>
        <row r="2525">
          <cell r="A2525" t="str">
            <v>5200080M</v>
          </cell>
          <cell r="B2525" t="str">
            <v>NDSsi Radiance 26", G2 HB</v>
          </cell>
          <cell r="C2525">
            <v>0</v>
          </cell>
          <cell r="D2525">
            <v>3158.68</v>
          </cell>
        </row>
        <row r="2526">
          <cell r="A2526" t="str">
            <v>5200081M</v>
          </cell>
          <cell r="B2526" t="str">
            <v>NDSsi Radiance 26", G2 HB fiber</v>
          </cell>
          <cell r="C2526">
            <v>0</v>
          </cell>
          <cell r="D2526">
            <v>3482.86</v>
          </cell>
        </row>
        <row r="2527">
          <cell r="A2527" t="str">
            <v>5200082M</v>
          </cell>
          <cell r="B2527" t="str">
            <v>Radiance 26" D HB</v>
          </cell>
          <cell r="C2527">
            <v>0</v>
          </cell>
          <cell r="D2527">
            <v>2920</v>
          </cell>
        </row>
        <row r="2528">
          <cell r="A2528" t="str">
            <v>5200083M</v>
          </cell>
          <cell r="B2528" t="str">
            <v>NDSsi EndoVue 15"</v>
          </cell>
          <cell r="C2528">
            <v>0</v>
          </cell>
          <cell r="D2528">
            <v>1344.59</v>
          </cell>
        </row>
        <row r="2529">
          <cell r="A2529" t="str">
            <v>5200084M</v>
          </cell>
          <cell r="B2529" t="str">
            <v>NDSsi EndoVue 19"</v>
          </cell>
          <cell r="C2529">
            <v>0</v>
          </cell>
          <cell r="D2529">
            <v>1491.16</v>
          </cell>
        </row>
        <row r="2530">
          <cell r="A2530" t="str">
            <v>5200085M</v>
          </cell>
          <cell r="B2530" t="str">
            <v>NDSsi EndoVue 42"</v>
          </cell>
          <cell r="C2530">
            <v>0</v>
          </cell>
          <cell r="D2530">
            <v>3434.81</v>
          </cell>
        </row>
        <row r="2531">
          <cell r="A2531" t="str">
            <v>5200086M</v>
          </cell>
          <cell r="B2531" t="str">
            <v>E2cHB Dual System</v>
          </cell>
          <cell r="C2531">
            <v>0</v>
          </cell>
          <cell r="D2531">
            <v>3902.97</v>
          </cell>
        </row>
        <row r="2532">
          <cell r="A2532" t="str">
            <v>5200087M</v>
          </cell>
          <cell r="B2532" t="str">
            <v>19" Color Medical Display</v>
          </cell>
          <cell r="C2532">
            <v>0</v>
          </cell>
          <cell r="D2532">
            <v>546</v>
          </cell>
        </row>
        <row r="2533">
          <cell r="A2533" t="str">
            <v>5200088M</v>
          </cell>
          <cell r="B2533" t="str">
            <v>19" IP65 Medical Display</v>
          </cell>
          <cell r="C2533">
            <v>0</v>
          </cell>
          <cell r="D2533">
            <v>1200</v>
          </cell>
        </row>
        <row r="2534">
          <cell r="A2534" t="str">
            <v>5200089M</v>
          </cell>
          <cell r="B2534" t="str">
            <v>15" Medical Display MD-DFM 152</v>
          </cell>
          <cell r="C2534">
            <v>0</v>
          </cell>
          <cell r="D2534">
            <v>339</v>
          </cell>
        </row>
        <row r="2535">
          <cell r="A2535" t="str">
            <v>5200090M</v>
          </cell>
          <cell r="B2535" t="str">
            <v>EndoVue 15"</v>
          </cell>
          <cell r="C2535">
            <v>0</v>
          </cell>
          <cell r="D2535">
            <v>1272.79</v>
          </cell>
        </row>
        <row r="2536">
          <cell r="A2536" t="str">
            <v>5200091M</v>
          </cell>
          <cell r="B2536" t="str">
            <v>NDSsi E2cHB-1, no VC</v>
          </cell>
          <cell r="C2536">
            <v>0</v>
          </cell>
          <cell r="D2536">
            <v>2257.84</v>
          </cell>
        </row>
        <row r="2537">
          <cell r="A2537" t="str">
            <v>5200092M</v>
          </cell>
          <cell r="B2537" t="str">
            <v>NDSsi E2cHB-2, no VC</v>
          </cell>
          <cell r="C2537">
            <v>0</v>
          </cell>
          <cell r="D2537">
            <v>4019.1</v>
          </cell>
        </row>
        <row r="2538">
          <cell r="A2538" t="str">
            <v>5200093M</v>
          </cell>
          <cell r="B2538" t="str">
            <v>NDSsi E3cHB-1, no VC</v>
          </cell>
          <cell r="C2538">
            <v>0</v>
          </cell>
          <cell r="D2538">
            <v>4067.92</v>
          </cell>
        </row>
        <row r="2539">
          <cell r="A2539" t="str">
            <v>5200094M</v>
          </cell>
          <cell r="B2539" t="str">
            <v>NDSsi Dome E3cHB-2, no VC</v>
          </cell>
          <cell r="C2539">
            <v>0</v>
          </cell>
          <cell r="D2539">
            <v>7438.65</v>
          </cell>
        </row>
        <row r="2540">
          <cell r="A2540" t="str">
            <v>5200095M</v>
          </cell>
          <cell r="B2540" t="str">
            <v>NDSsi Dome E4c system, no VC</v>
          </cell>
          <cell r="C2540">
            <v>0</v>
          </cell>
          <cell r="D2540">
            <v>3432.52</v>
          </cell>
        </row>
        <row r="2541">
          <cell r="A2541" t="str">
            <v>5200096M</v>
          </cell>
          <cell r="B2541" t="str">
            <v>NDSsi Dome E2-1 system, no VC</v>
          </cell>
          <cell r="C2541">
            <v>0</v>
          </cell>
          <cell r="D2541">
            <v>1867.29</v>
          </cell>
        </row>
        <row r="2542">
          <cell r="A2542" t="str">
            <v>5200097M</v>
          </cell>
          <cell r="B2542" t="str">
            <v>NDSsi Dome E2-2 system, no VC</v>
          </cell>
          <cell r="C2542">
            <v>0</v>
          </cell>
          <cell r="D2542">
            <v>3323.44</v>
          </cell>
        </row>
        <row r="2543">
          <cell r="A2543" t="str">
            <v>5200098M</v>
          </cell>
          <cell r="B2543" t="str">
            <v>NDSsi Dome E3-1 system, no VC</v>
          </cell>
          <cell r="C2543">
            <v>0</v>
          </cell>
          <cell r="D2543">
            <v>4069.44</v>
          </cell>
        </row>
        <row r="2544">
          <cell r="A2544" t="str">
            <v>5200099M</v>
          </cell>
          <cell r="B2544" t="str">
            <v>NDSsi Dome E3-2 system, no VC</v>
          </cell>
          <cell r="C2544">
            <v>0</v>
          </cell>
          <cell r="D2544">
            <v>7229.65</v>
          </cell>
        </row>
        <row r="2545">
          <cell r="A2545" t="str">
            <v>5200100M</v>
          </cell>
          <cell r="B2545" t="str">
            <v>NDSsi Dome E5-1 system, no VC</v>
          </cell>
          <cell r="C2545">
            <v>0</v>
          </cell>
          <cell r="D2545">
            <v>6836.82</v>
          </cell>
        </row>
        <row r="2546">
          <cell r="A2546" t="str">
            <v>5200101M</v>
          </cell>
          <cell r="B2546" t="str">
            <v>NDSsi Dome E5-2 system, no VC</v>
          </cell>
          <cell r="C2546">
            <v>0</v>
          </cell>
          <cell r="D2546">
            <v>11212.9</v>
          </cell>
        </row>
        <row r="2547">
          <cell r="A2547" t="str">
            <v>5200102M</v>
          </cell>
          <cell r="B2547" t="str">
            <v>Dome GX2MP 2 MP 20,1" Monitor</v>
          </cell>
          <cell r="C2547">
            <v>0</v>
          </cell>
          <cell r="D2547">
            <v>529.95000000000005</v>
          </cell>
        </row>
        <row r="2548">
          <cell r="A2548" t="str">
            <v>5200104M</v>
          </cell>
          <cell r="B2548" t="str">
            <v>ZeroWire Duo/DVI</v>
          </cell>
          <cell r="C2548">
            <v>0</v>
          </cell>
          <cell r="D2548">
            <v>2974.32</v>
          </cell>
        </row>
        <row r="2549">
          <cell r="A2549" t="str">
            <v>5200105M</v>
          </cell>
          <cell r="B2549" t="str">
            <v>Dome E5 Single, w/Quadro 2000D</v>
          </cell>
          <cell r="C2549">
            <v>0</v>
          </cell>
          <cell r="D2549">
            <v>6820.67</v>
          </cell>
        </row>
        <row r="2550">
          <cell r="A2550" t="str">
            <v>5200106M</v>
          </cell>
          <cell r="B2550" t="str">
            <v>Dome E2  2MP  19.6" Monitor, FX380 video card</v>
          </cell>
          <cell r="C2550">
            <v>0</v>
          </cell>
          <cell r="D2550">
            <v>1843.5</v>
          </cell>
        </row>
        <row r="2551">
          <cell r="A2551" t="str">
            <v>5200107M</v>
          </cell>
          <cell r="B2551" t="str">
            <v>Dome E2  2MP  19.6" Monitor, FX1800 video card</v>
          </cell>
          <cell r="C2551">
            <v>0</v>
          </cell>
          <cell r="D2551">
            <v>2053.6</v>
          </cell>
        </row>
        <row r="2552">
          <cell r="A2552" t="str">
            <v>5200108M</v>
          </cell>
          <cell r="B2552" t="str">
            <v>Dome E2 2MP 19.6" Monitor Dual Head FX380 v. card</v>
          </cell>
          <cell r="C2552">
            <v>0</v>
          </cell>
          <cell r="D2552">
            <v>3227.5</v>
          </cell>
        </row>
        <row r="2553">
          <cell r="A2553" t="str">
            <v>5200109M</v>
          </cell>
          <cell r="B2553" t="str">
            <v>Dome E2 2MP 19.6" Monitor Dual Head FX1800 v. card</v>
          </cell>
          <cell r="C2553">
            <v>0</v>
          </cell>
          <cell r="D2553">
            <v>0</v>
          </cell>
        </row>
        <row r="2554">
          <cell r="A2554" t="str">
            <v>5200110M</v>
          </cell>
          <cell r="B2554" t="str">
            <v>Dome E3  3MP 20,8" Monitor FX380 video card</v>
          </cell>
          <cell r="C2554">
            <v>0</v>
          </cell>
          <cell r="D2554">
            <v>4040.6</v>
          </cell>
        </row>
        <row r="2555">
          <cell r="A2555" t="str">
            <v>5200111M</v>
          </cell>
          <cell r="B2555" t="str">
            <v>Dome E3  3MP 20,8" Monitor FX1800 video card</v>
          </cell>
          <cell r="C2555">
            <v>0</v>
          </cell>
          <cell r="D2555">
            <v>4152.8999999999996</v>
          </cell>
        </row>
        <row r="2556">
          <cell r="A2556" t="str">
            <v>5200112M</v>
          </cell>
          <cell r="B2556" t="str">
            <v>Dome E3  3MP 20,8" Monitor Dual-Head FX380 v. card</v>
          </cell>
          <cell r="C2556">
            <v>0</v>
          </cell>
          <cell r="D2556">
            <v>7013</v>
          </cell>
        </row>
        <row r="2557">
          <cell r="A2557" t="str">
            <v>5200113M</v>
          </cell>
          <cell r="B2557" t="str">
            <v>Dome E3 3MP 20,8" Monitor Dual-Head FX1800 v. card</v>
          </cell>
          <cell r="C2557">
            <v>0</v>
          </cell>
          <cell r="D2557">
            <v>7304.3</v>
          </cell>
        </row>
        <row r="2558">
          <cell r="A2558" t="str">
            <v>5200114M</v>
          </cell>
          <cell r="B2558" t="str">
            <v>Dome E5 single head system, I, FX1800, DIN glass</v>
          </cell>
          <cell r="C2558">
            <v>0</v>
          </cell>
          <cell r="D2558">
            <v>6822.14</v>
          </cell>
        </row>
        <row r="2559">
          <cell r="A2559" t="str">
            <v>5200115M</v>
          </cell>
          <cell r="B2559" t="str">
            <v>Dome E5 dual head system, I, FX1800, DIN glass</v>
          </cell>
          <cell r="C2559">
            <v>0</v>
          </cell>
          <cell r="D2559">
            <v>10940.76</v>
          </cell>
        </row>
        <row r="2560">
          <cell r="A2560" t="str">
            <v>5200116M</v>
          </cell>
          <cell r="B2560" t="str">
            <v>Dome E2cHB-1 single head system, FX380, DIN glass</v>
          </cell>
          <cell r="C2560">
            <v>0</v>
          </cell>
          <cell r="D2560">
            <v>2239.2600000000002</v>
          </cell>
        </row>
        <row r="2561">
          <cell r="A2561" t="str">
            <v>5200117M</v>
          </cell>
          <cell r="B2561" t="str">
            <v>Dome E2cHB-2 dual head system, FX380, DIN glass</v>
          </cell>
          <cell r="C2561">
            <v>0</v>
          </cell>
          <cell r="D2561">
            <v>3901.25</v>
          </cell>
        </row>
        <row r="2562">
          <cell r="A2562" t="str">
            <v>5200118M</v>
          </cell>
          <cell r="B2562" t="str">
            <v>Dome E2cHB-2 dual head system, FX1800, DIN glass</v>
          </cell>
          <cell r="C2562">
            <v>0</v>
          </cell>
          <cell r="D2562">
            <v>4228.75</v>
          </cell>
        </row>
        <row r="2563">
          <cell r="A2563" t="str">
            <v>5200119M</v>
          </cell>
          <cell r="B2563" t="str">
            <v>Dome E3cHB single head, NX3700 - Nvidia Quadro</v>
          </cell>
          <cell r="C2563">
            <v>0</v>
          </cell>
          <cell r="D2563">
            <v>4570.6499999999996</v>
          </cell>
        </row>
        <row r="2564">
          <cell r="A2564" t="str">
            <v>5200120M</v>
          </cell>
          <cell r="B2564" t="str">
            <v>Dome E3cHB single head system, I, FX380, DIN glass</v>
          </cell>
          <cell r="C2564">
            <v>0</v>
          </cell>
          <cell r="D2564">
            <v>4232.3500000000004</v>
          </cell>
        </row>
        <row r="2565">
          <cell r="A2565" t="str">
            <v>5200121M</v>
          </cell>
          <cell r="B2565" t="str">
            <v>Dome E3cHB dual head system, I, FX380, DIN glass</v>
          </cell>
          <cell r="C2565">
            <v>0</v>
          </cell>
          <cell r="D2565">
            <v>7124.45</v>
          </cell>
        </row>
        <row r="2566">
          <cell r="A2566" t="str">
            <v>5200122M</v>
          </cell>
          <cell r="B2566" t="str">
            <v>E4c Color, FPD, FX380 - Nvidia Quadro FX380 card</v>
          </cell>
          <cell r="C2566">
            <v>0</v>
          </cell>
          <cell r="D2566">
            <v>3341.25</v>
          </cell>
        </row>
        <row r="2567">
          <cell r="A2567" t="str">
            <v>5200123M</v>
          </cell>
          <cell r="B2567" t="str">
            <v>GX2MP Single, 20" LCD with Cxtra and NX290x1</v>
          </cell>
          <cell r="C2567">
            <v>0</v>
          </cell>
          <cell r="D2567">
            <v>667.24</v>
          </cell>
        </row>
        <row r="2568">
          <cell r="A2568" t="str">
            <v>5200124M</v>
          </cell>
          <cell r="B2568" t="str">
            <v>GX2MP Dual, 20" LCD with Cxtra and NX290x1</v>
          </cell>
          <cell r="C2568">
            <v>0</v>
          </cell>
          <cell r="D2568">
            <v>1268.98</v>
          </cell>
        </row>
        <row r="2569">
          <cell r="A2569" t="str">
            <v>5200125M</v>
          </cell>
          <cell r="B2569" t="str">
            <v>ConductOR G2 Base Version incl. HD streaming</v>
          </cell>
          <cell r="C2569">
            <v>0</v>
          </cell>
          <cell r="D2569">
            <v>5122.08</v>
          </cell>
        </row>
        <row r="2570">
          <cell r="A2570" t="str">
            <v>5200126M</v>
          </cell>
          <cell r="B2570" t="str">
            <v>ConductOR DVI Input Module</v>
          </cell>
          <cell r="C2570">
            <v>0</v>
          </cell>
          <cell r="D2570">
            <v>202.9</v>
          </cell>
        </row>
        <row r="2571">
          <cell r="A2571" t="str">
            <v>5200127M</v>
          </cell>
          <cell r="B2571" t="str">
            <v>ConductOR 3G/HD-SDI/SDI Input Module</v>
          </cell>
          <cell r="C2571">
            <v>0</v>
          </cell>
          <cell r="D2571">
            <v>271.55</v>
          </cell>
        </row>
        <row r="2572">
          <cell r="A2572" t="str">
            <v>5200128M</v>
          </cell>
          <cell r="B2572" t="str">
            <v>ConductOR DVI Output Module</v>
          </cell>
          <cell r="C2572">
            <v>0</v>
          </cell>
          <cell r="D2572">
            <v>202.9</v>
          </cell>
        </row>
        <row r="2573">
          <cell r="A2573" t="str">
            <v>5200129M</v>
          </cell>
          <cell r="B2573" t="str">
            <v>ConductOR 3G/HD-SDI/Output Module</v>
          </cell>
          <cell r="C2573">
            <v>0</v>
          </cell>
          <cell r="D2573">
            <v>271.55</v>
          </cell>
        </row>
        <row r="2574">
          <cell r="A2574" t="str">
            <v>5200130M</v>
          </cell>
          <cell r="B2574" t="str">
            <v>ConductOR DVI four Fiber Output Module</v>
          </cell>
          <cell r="C2574">
            <v>0</v>
          </cell>
          <cell r="D2574">
            <v>440.13</v>
          </cell>
        </row>
        <row r="2575">
          <cell r="A2575" t="str">
            <v>5200131M</v>
          </cell>
          <cell r="B2575" t="str">
            <v>ScaleOR,DVI Input, w/o fiber</v>
          </cell>
          <cell r="C2575">
            <v>0</v>
          </cell>
          <cell r="D2575">
            <v>800.16</v>
          </cell>
        </row>
        <row r="2576">
          <cell r="A2576" t="str">
            <v>5200132M</v>
          </cell>
          <cell r="B2576" t="str">
            <v>ScaleOR,DVI Input, w/ fiber</v>
          </cell>
          <cell r="C2576">
            <v>0</v>
          </cell>
          <cell r="D2576">
            <v>1264.69</v>
          </cell>
        </row>
        <row r="2577">
          <cell r="A2577" t="str">
            <v>5200133M</v>
          </cell>
          <cell r="B2577" t="str">
            <v>ScaleOR, SDI Input</v>
          </cell>
          <cell r="C2577">
            <v>0</v>
          </cell>
          <cell r="D2577">
            <v>880.25</v>
          </cell>
        </row>
        <row r="2578">
          <cell r="A2578" t="str">
            <v>5200134M</v>
          </cell>
          <cell r="B2578" t="str">
            <v>ScaleOR, SDI Input, w/ fiber</v>
          </cell>
          <cell r="C2578">
            <v>0</v>
          </cell>
          <cell r="D2578">
            <v>1344.02</v>
          </cell>
        </row>
        <row r="2579">
          <cell r="A2579" t="str">
            <v>5200135M</v>
          </cell>
          <cell r="B2579" t="str">
            <v>ScaleOR, VGA Input, w/ o fiber</v>
          </cell>
          <cell r="C2579">
            <v>0</v>
          </cell>
          <cell r="D2579">
            <v>880.25</v>
          </cell>
        </row>
        <row r="2580">
          <cell r="A2580" t="str">
            <v>5200136M</v>
          </cell>
          <cell r="B2580" t="str">
            <v>ScaleOR, VGA Input, w/ fiber</v>
          </cell>
          <cell r="C2580">
            <v>0</v>
          </cell>
          <cell r="D2580">
            <v>1344.02</v>
          </cell>
        </row>
        <row r="2581">
          <cell r="A2581" t="str">
            <v>5200137M</v>
          </cell>
          <cell r="B2581" t="str">
            <v>ScaleOR, S-Video Input, w/ o fiber</v>
          </cell>
          <cell r="C2581">
            <v>0</v>
          </cell>
          <cell r="D2581">
            <v>880.25</v>
          </cell>
        </row>
        <row r="2582">
          <cell r="A2582" t="str">
            <v>5200138M</v>
          </cell>
          <cell r="B2582" t="str">
            <v>ScaleOR, S-Video Input, w/ fiber</v>
          </cell>
          <cell r="C2582">
            <v>0</v>
          </cell>
          <cell r="D2582">
            <v>1344.02</v>
          </cell>
        </row>
        <row r="2583">
          <cell r="A2583" t="str">
            <v>5200139M</v>
          </cell>
          <cell r="B2583" t="str">
            <v>22" non medical LCD B22W-6 LED</v>
          </cell>
          <cell r="C2583">
            <v>0</v>
          </cell>
          <cell r="D2583">
            <v>184.32</v>
          </cell>
        </row>
        <row r="2584">
          <cell r="A2584" t="str">
            <v>5200140M</v>
          </cell>
          <cell r="B2584" t="str">
            <v>19" Medical Display MD-DFM 192</v>
          </cell>
          <cell r="C2584">
            <v>0</v>
          </cell>
          <cell r="D2584">
            <v>479</v>
          </cell>
        </row>
        <row r="2585">
          <cell r="A2585" t="str">
            <v>5200141M</v>
          </cell>
          <cell r="B2585" t="str">
            <v>Display 24" MD-DFM24-ENDO</v>
          </cell>
          <cell r="C2585">
            <v>0</v>
          </cell>
          <cell r="D2585">
            <v>1555</v>
          </cell>
        </row>
        <row r="2586">
          <cell r="A2586" t="str">
            <v>5200142M</v>
          </cell>
          <cell r="B2586" t="str">
            <v>Display 17" MD-DFM172</v>
          </cell>
          <cell r="C2586">
            <v>0</v>
          </cell>
          <cell r="D2586">
            <v>339</v>
          </cell>
        </row>
        <row r="2587">
          <cell r="A2587" t="str">
            <v>5200143M</v>
          </cell>
          <cell r="B2587" t="str">
            <v>Display 17" MD-DFM172 Schutzscheibe</v>
          </cell>
          <cell r="C2587">
            <v>0</v>
          </cell>
          <cell r="D2587">
            <v>427</v>
          </cell>
        </row>
        <row r="2588">
          <cell r="A2588" t="str">
            <v>5200144M</v>
          </cell>
          <cell r="B2588" t="str">
            <v>TERRA All-In-One-PC 2210 i2120/4GB/1TB/W7P</v>
          </cell>
          <cell r="C2588">
            <v>0</v>
          </cell>
          <cell r="D2588">
            <v>585</v>
          </cell>
        </row>
        <row r="2589">
          <cell r="A2589" t="str">
            <v>5200145M</v>
          </cell>
          <cell r="B2589" t="str">
            <v>Kit 12.1" Display with Touch Class</v>
          </cell>
          <cell r="C2589">
            <v>107</v>
          </cell>
          <cell r="D2589">
            <v>278.47000000000003</v>
          </cell>
        </row>
        <row r="2590">
          <cell r="A2590" t="str">
            <v>5200146M</v>
          </cell>
          <cell r="B2590" t="str">
            <v>Panel LG LM215WF3-SLC1</v>
          </cell>
          <cell r="C2590">
            <v>21</v>
          </cell>
          <cell r="D2590">
            <v>94</v>
          </cell>
        </row>
        <row r="2591">
          <cell r="A2591" t="str">
            <v>5200147M</v>
          </cell>
          <cell r="B2591" t="str">
            <v>Display 21.5" Touch</v>
          </cell>
          <cell r="C2591">
            <v>0</v>
          </cell>
          <cell r="D2591">
            <v>1445.7</v>
          </cell>
        </row>
        <row r="2592">
          <cell r="A2592" t="str">
            <v>5200148M</v>
          </cell>
          <cell r="B2592" t="str">
            <v>21,5" Display open frame</v>
          </cell>
          <cell r="C2592">
            <v>0</v>
          </cell>
          <cell r="D2592">
            <v>434</v>
          </cell>
        </row>
        <row r="2593">
          <cell r="A2593" t="str">
            <v>5200149M-99_A</v>
          </cell>
          <cell r="B2593" t="str">
            <v>Bechtle MCD Medical Line OMNI.view 21.5" Touch</v>
          </cell>
          <cell r="C2593">
            <v>0</v>
          </cell>
          <cell r="D2593">
            <v>0</v>
          </cell>
        </row>
        <row r="2594">
          <cell r="A2594" t="str">
            <v>5200149M_A</v>
          </cell>
          <cell r="B2594" t="str">
            <v>MCD Medical Line OMNI.view 21.5" Touch</v>
          </cell>
          <cell r="C2594">
            <v>1</v>
          </cell>
          <cell r="D2594">
            <v>1524.54</v>
          </cell>
        </row>
        <row r="2595">
          <cell r="A2595" t="str">
            <v>5200150M</v>
          </cell>
          <cell r="B2595" t="str">
            <v>Display 19" MD-DFM19-ENDO</v>
          </cell>
          <cell r="C2595">
            <v>0</v>
          </cell>
          <cell r="D2595">
            <v>1999</v>
          </cell>
        </row>
        <row r="2596">
          <cell r="A2596" t="str">
            <v>5200151M</v>
          </cell>
          <cell r="B2596" t="str">
            <v>Display 19" LCD ICS-D</v>
          </cell>
          <cell r="C2596">
            <v>0</v>
          </cell>
          <cell r="D2596">
            <v>195</v>
          </cell>
        </row>
        <row r="2597">
          <cell r="A2597" t="str">
            <v>5200152M</v>
          </cell>
          <cell r="B2597" t="str">
            <v>19" Medical Display MD-DFM 192-S</v>
          </cell>
          <cell r="C2597">
            <v>0</v>
          </cell>
          <cell r="D2597">
            <v>602</v>
          </cell>
        </row>
        <row r="2598">
          <cell r="A2598" t="str">
            <v>5200153M</v>
          </cell>
          <cell r="B2598" t="str">
            <v>Display 21,5" Video PME, open frame, VGA;DVI/HDMI</v>
          </cell>
          <cell r="C2598">
            <v>0</v>
          </cell>
          <cell r="D2598">
            <v>432</v>
          </cell>
        </row>
        <row r="2599">
          <cell r="A2599" t="str">
            <v>5200154M</v>
          </cell>
          <cell r="B2599" t="str">
            <v>Display 19" TFT-LCD 1280x1024, VESA75</v>
          </cell>
          <cell r="C2599">
            <v>61</v>
          </cell>
          <cell r="D2599">
            <v>230</v>
          </cell>
        </row>
        <row r="2600">
          <cell r="A2600" t="str">
            <v>5200155M</v>
          </cell>
          <cell r="B2600" t="str">
            <v>MCD Medical Line OMNI.view 21.5" Non-Touch, weiß</v>
          </cell>
          <cell r="C2600">
            <v>1</v>
          </cell>
          <cell r="D2600">
            <v>470</v>
          </cell>
        </row>
        <row r="2601">
          <cell r="A2601" t="str">
            <v>5200156M</v>
          </cell>
          <cell r="B2601" t="str">
            <v>MCD Medical Line OMNI.view 21.5" Touch, weiß</v>
          </cell>
          <cell r="C2601">
            <v>0</v>
          </cell>
          <cell r="D2601">
            <v>717.6</v>
          </cell>
        </row>
        <row r="2602">
          <cell r="A2602" t="str">
            <v>5200157M</v>
          </cell>
          <cell r="B2602" t="str">
            <v>Display OMNI.view 21,5"Non-Touch,weiß,inkl Verp.</v>
          </cell>
          <cell r="C2602">
            <v>20</v>
          </cell>
          <cell r="D2602">
            <v>492.4</v>
          </cell>
        </row>
        <row r="2603">
          <cell r="A2603" t="str">
            <v>5200158M</v>
          </cell>
          <cell r="B2603" t="str">
            <v>Display OMNI.view 21,5" Touch, weiß</v>
          </cell>
          <cell r="C2603">
            <v>0</v>
          </cell>
          <cell r="D2603">
            <v>754.85</v>
          </cell>
        </row>
        <row r="2604">
          <cell r="A2604" t="str">
            <v>5200159M</v>
          </cell>
          <cell r="B2604" t="str">
            <v>MCD Medical Line OMNI.view 21,5" Non-Touch, weiß</v>
          </cell>
          <cell r="C2604">
            <v>0</v>
          </cell>
          <cell r="D2604">
            <v>0</v>
          </cell>
        </row>
        <row r="2605">
          <cell r="A2605" t="str">
            <v>5200159M_A</v>
          </cell>
          <cell r="B2605" t="str">
            <v>MCD Medical Line OMNI.view 21,5" Non-Touch, weiß</v>
          </cell>
          <cell r="C2605">
            <v>3</v>
          </cell>
          <cell r="D2605">
            <v>476.27</v>
          </cell>
        </row>
        <row r="2606">
          <cell r="A2606" t="str">
            <v>5200160M</v>
          </cell>
          <cell r="B2606" t="str">
            <v>MCD Medical Line OMNI.view 21,5" Touch, weiß</v>
          </cell>
          <cell r="C2606">
            <v>0</v>
          </cell>
          <cell r="D2606">
            <v>0</v>
          </cell>
        </row>
        <row r="2607">
          <cell r="A2607" t="str">
            <v>5200160M_A</v>
          </cell>
          <cell r="B2607" t="str">
            <v>MCD Medical Line OMNI.view 21,5" Touch, weiß</v>
          </cell>
          <cell r="C2607">
            <v>6</v>
          </cell>
          <cell r="D2607">
            <v>761.06</v>
          </cell>
        </row>
        <row r="2608">
          <cell r="A2608" t="str">
            <v>5200161M</v>
          </cell>
          <cell r="B2608" t="str">
            <v>Canvys Medical LCD 42" HD-SDI - 2MP</v>
          </cell>
          <cell r="C2608">
            <v>0</v>
          </cell>
          <cell r="D2608">
            <v>2299</v>
          </cell>
        </row>
        <row r="2609">
          <cell r="A2609" t="str">
            <v>5200162M</v>
          </cell>
          <cell r="B2609" t="str">
            <v>Panel 19" SXGA (1280x1024) THA.leia 19"</v>
          </cell>
          <cell r="C2609">
            <v>1</v>
          </cell>
          <cell r="D2609">
            <v>184</v>
          </cell>
        </row>
        <row r="2610">
          <cell r="A2610" t="str">
            <v>5200163M</v>
          </cell>
          <cell r="B2610" t="str">
            <v>19" Medical Display MD-DFM 192-V-R3</v>
          </cell>
          <cell r="C2610">
            <v>0</v>
          </cell>
          <cell r="D2610">
            <v>672</v>
          </cell>
        </row>
        <row r="2611">
          <cell r="A2611" t="str">
            <v>5210001M</v>
          </cell>
          <cell r="B2611" t="str">
            <v>Standfuss 19" white für EV-C119</v>
          </cell>
          <cell r="C2611">
            <v>0</v>
          </cell>
          <cell r="D2611">
            <v>84</v>
          </cell>
        </row>
        <row r="2612">
          <cell r="A2612" t="str">
            <v>5210002M</v>
          </cell>
          <cell r="B2612" t="str">
            <v>VESA ADAPTER 75x75 / 100x100</v>
          </cell>
          <cell r="C2612">
            <v>0</v>
          </cell>
          <cell r="D2612">
            <v>2.9</v>
          </cell>
        </row>
        <row r="2613">
          <cell r="A2613" t="str">
            <v>5210003M</v>
          </cell>
          <cell r="B2613" t="str">
            <v>MQ VESA ADAPTER MQ219</v>
          </cell>
          <cell r="C2613">
            <v>0</v>
          </cell>
          <cell r="D2613">
            <v>25</v>
          </cell>
        </row>
        <row r="2614">
          <cell r="A2614" t="str">
            <v>5210004M</v>
          </cell>
          <cell r="B2614" t="str">
            <v>Netzteil für Monitor 23" LCD 230 ADF-II</v>
          </cell>
          <cell r="C2614">
            <v>0</v>
          </cell>
          <cell r="D2614">
            <v>39</v>
          </cell>
        </row>
        <row r="2615">
          <cell r="A2615" t="str">
            <v>5210005M</v>
          </cell>
          <cell r="B2615" t="str">
            <v>NDS Netzteil 12 V 80 W</v>
          </cell>
          <cell r="C2615">
            <v>0</v>
          </cell>
          <cell r="D2615">
            <v>149.83000000000001</v>
          </cell>
        </row>
        <row r="2616">
          <cell r="A2616" t="str">
            <v>5210006M</v>
          </cell>
          <cell r="B2616" t="str">
            <v>NDS Netzteil 24 V 90 W</v>
          </cell>
          <cell r="C2616">
            <v>0</v>
          </cell>
          <cell r="D2616">
            <v>139.69999999999999</v>
          </cell>
        </row>
        <row r="2617">
          <cell r="A2617" t="str">
            <v>5210007M</v>
          </cell>
          <cell r="B2617" t="str">
            <v>NDS Netzteil 24 V 120 W</v>
          </cell>
          <cell r="C2617">
            <v>0</v>
          </cell>
          <cell r="D2617">
            <v>0</v>
          </cell>
        </row>
        <row r="2618">
          <cell r="A2618" t="str">
            <v>5210008M</v>
          </cell>
          <cell r="B2618" t="str">
            <v>NDS European Power Cord 110 -240V</v>
          </cell>
          <cell r="C2618">
            <v>0</v>
          </cell>
          <cell r="D2618">
            <v>0</v>
          </cell>
        </row>
        <row r="2619">
          <cell r="A2619" t="str">
            <v>5210009M</v>
          </cell>
          <cell r="B2619" t="str">
            <v>NDS 26" Desktop Stand (Light Gray)</v>
          </cell>
          <cell r="C2619">
            <v>0</v>
          </cell>
          <cell r="D2619">
            <v>211.7</v>
          </cell>
        </row>
        <row r="2620">
          <cell r="A2620" t="str">
            <v>5210010M</v>
          </cell>
          <cell r="B2620" t="str">
            <v>NDS 19" &amp; 24"  Desktop Stand (Light Gray)</v>
          </cell>
          <cell r="C2620">
            <v>0</v>
          </cell>
          <cell r="D2620">
            <v>213.02</v>
          </cell>
        </row>
        <row r="2621">
          <cell r="A2621" t="str">
            <v>5210011M</v>
          </cell>
          <cell r="B2621" t="str">
            <v>NDS 15"  Desktop Stand (Light Gray)</v>
          </cell>
          <cell r="C2621">
            <v>0</v>
          </cell>
          <cell r="D2621">
            <v>211.7</v>
          </cell>
        </row>
        <row r="2622">
          <cell r="A2622" t="str">
            <v>5210012M</v>
          </cell>
          <cell r="B2622" t="str">
            <v>Sony Monitorständer SU-560</v>
          </cell>
          <cell r="C2622">
            <v>0</v>
          </cell>
          <cell r="D2622">
            <v>289</v>
          </cell>
        </row>
        <row r="2623">
          <cell r="A2623" t="str">
            <v>5210013M</v>
          </cell>
          <cell r="B2623" t="str">
            <v>NDS Netzteil 30D0023</v>
          </cell>
          <cell r="C2623">
            <v>0</v>
          </cell>
          <cell r="D2623">
            <v>159.52000000000001</v>
          </cell>
        </row>
        <row r="2624">
          <cell r="A2624" t="str">
            <v>5210014M</v>
          </cell>
          <cell r="B2624" t="str">
            <v>Schutzglas für AG-Neovo X19</v>
          </cell>
          <cell r="C2624">
            <v>0</v>
          </cell>
          <cell r="D2624">
            <v>102</v>
          </cell>
        </row>
        <row r="2625">
          <cell r="A2625" t="str">
            <v>5210015M</v>
          </cell>
          <cell r="B2625" t="str">
            <v>NDS Vesa Mounting Kit für 19"-24"</v>
          </cell>
          <cell r="C2625">
            <v>0</v>
          </cell>
          <cell r="D2625">
            <v>52.63</v>
          </cell>
        </row>
        <row r="2626">
          <cell r="A2626" t="str">
            <v>5210016M</v>
          </cell>
          <cell r="B2626" t="str">
            <v>ZeroWire Y-Kabel für 19-26" Radiance und 32" Janus</v>
          </cell>
          <cell r="C2626">
            <v>0</v>
          </cell>
          <cell r="D2626">
            <v>48.69</v>
          </cell>
        </row>
        <row r="2627">
          <cell r="A2627" t="str">
            <v>5210017M</v>
          </cell>
          <cell r="B2627" t="str">
            <v>ConductOR</v>
          </cell>
          <cell r="C2627">
            <v>0</v>
          </cell>
          <cell r="D2627">
            <v>3824.52</v>
          </cell>
        </row>
        <row r="2628">
          <cell r="A2628" t="str">
            <v>5210018M</v>
          </cell>
          <cell r="B2628" t="str">
            <v>ConductOR G2 Base Version incl. HD streaming</v>
          </cell>
          <cell r="C2628">
            <v>0</v>
          </cell>
          <cell r="D2628">
            <v>4943.53</v>
          </cell>
        </row>
        <row r="2629">
          <cell r="A2629" t="str">
            <v>5210019M</v>
          </cell>
          <cell r="B2629" t="str">
            <v>DVI Input Module</v>
          </cell>
          <cell r="C2629">
            <v>0</v>
          </cell>
          <cell r="D2629">
            <v>195.83</v>
          </cell>
        </row>
        <row r="2630">
          <cell r="A2630" t="str">
            <v>5210020M</v>
          </cell>
          <cell r="B2630" t="str">
            <v>3G/HD-SDI/SDI Input Module</v>
          </cell>
          <cell r="C2630">
            <v>0</v>
          </cell>
          <cell r="D2630">
            <v>262.08</v>
          </cell>
        </row>
        <row r="2631">
          <cell r="A2631" t="str">
            <v>5210021M</v>
          </cell>
          <cell r="B2631" t="str">
            <v>DVI Output Module</v>
          </cell>
          <cell r="C2631">
            <v>0</v>
          </cell>
          <cell r="D2631">
            <v>195.83</v>
          </cell>
        </row>
        <row r="2632">
          <cell r="A2632" t="str">
            <v>5210022M</v>
          </cell>
          <cell r="B2632" t="str">
            <v>3G/HD-SDI/SDI Output Module</v>
          </cell>
          <cell r="C2632">
            <v>0</v>
          </cell>
          <cell r="D2632">
            <v>262.08</v>
          </cell>
        </row>
        <row r="2633">
          <cell r="A2633" t="str">
            <v>5210023M</v>
          </cell>
          <cell r="B2633" t="str">
            <v>DVI four Fiber Output Module</v>
          </cell>
          <cell r="C2633">
            <v>0</v>
          </cell>
          <cell r="D2633">
            <v>424.78</v>
          </cell>
        </row>
        <row r="2634">
          <cell r="A2634" t="str">
            <v>5210024M</v>
          </cell>
          <cell r="B2634" t="str">
            <v>ZeroWire DVI Duo TX/RX Set</v>
          </cell>
          <cell r="C2634">
            <v>0</v>
          </cell>
          <cell r="D2634">
            <v>1987.72</v>
          </cell>
        </row>
        <row r="2635">
          <cell r="A2635" t="str">
            <v>5210025M</v>
          </cell>
          <cell r="B2635" t="str">
            <v>ZeroWire DVI TX</v>
          </cell>
          <cell r="C2635">
            <v>0</v>
          </cell>
          <cell r="D2635">
            <v>1392.08</v>
          </cell>
        </row>
        <row r="2636">
          <cell r="A2636" t="str">
            <v>5210026M</v>
          </cell>
          <cell r="B2636" t="str">
            <v>ZeroWire DVI RX</v>
          </cell>
          <cell r="C2636">
            <v>0</v>
          </cell>
          <cell r="D2636">
            <v>705.57</v>
          </cell>
        </row>
        <row r="2637">
          <cell r="A2637" t="str">
            <v>5210027M</v>
          </cell>
          <cell r="B2637" t="str">
            <v>60cm DVI Ersatzkabel</v>
          </cell>
          <cell r="C2637">
            <v>0</v>
          </cell>
          <cell r="D2637">
            <v>41.23</v>
          </cell>
        </row>
        <row r="2638">
          <cell r="A2638" t="str">
            <v>5210028M</v>
          </cell>
          <cell r="B2638" t="str">
            <v>90cm DVI Ersatzkabel</v>
          </cell>
          <cell r="C2638">
            <v>0</v>
          </cell>
          <cell r="D2638">
            <v>42.72</v>
          </cell>
        </row>
        <row r="2639">
          <cell r="A2639" t="str">
            <v>5210029M</v>
          </cell>
          <cell r="B2639" t="str">
            <v>180cm DVI Ersatzkabel</v>
          </cell>
          <cell r="C2639">
            <v>0</v>
          </cell>
          <cell r="D2639">
            <v>37.380000000000003</v>
          </cell>
        </row>
        <row r="2640">
          <cell r="A2640" t="str">
            <v>5210030M</v>
          </cell>
          <cell r="B2640" t="str">
            <v>90cm 3G-SDI Kabel</v>
          </cell>
          <cell r="C2640">
            <v>0</v>
          </cell>
          <cell r="D2640">
            <v>39.659999999999997</v>
          </cell>
        </row>
        <row r="2641">
          <cell r="A2641" t="str">
            <v>5210031M</v>
          </cell>
          <cell r="B2641" t="str">
            <v>180cm 3G-SDI Kabel</v>
          </cell>
          <cell r="C2641">
            <v>0</v>
          </cell>
          <cell r="D2641">
            <v>39.659999999999997</v>
          </cell>
        </row>
        <row r="2642">
          <cell r="A2642" t="str">
            <v>5210032M</v>
          </cell>
          <cell r="B2642" t="str">
            <v>Ersatz Netzteil</v>
          </cell>
          <cell r="C2642">
            <v>0</v>
          </cell>
          <cell r="D2642">
            <v>47.29</v>
          </cell>
        </row>
        <row r="2643">
          <cell r="A2643" t="str">
            <v>5210033M</v>
          </cell>
          <cell r="B2643" t="str">
            <v>Ersatz Standsockel</v>
          </cell>
          <cell r="C2643">
            <v>0</v>
          </cell>
          <cell r="D2643">
            <v>51.87</v>
          </cell>
        </row>
        <row r="2644">
          <cell r="A2644" t="str">
            <v>5210034M</v>
          </cell>
          <cell r="B2644" t="str">
            <v>ZeroWire VESA Mounting Kit  for 24" to 26"</v>
          </cell>
          <cell r="C2644">
            <v>0</v>
          </cell>
          <cell r="D2644">
            <v>50.94</v>
          </cell>
        </row>
        <row r="2645">
          <cell r="A2645" t="str">
            <v>5210035M</v>
          </cell>
          <cell r="B2645" t="str">
            <v>ZeroWire VESA Mounting Kit  for Radiance 32"/37"</v>
          </cell>
          <cell r="C2645">
            <v>0</v>
          </cell>
          <cell r="D2645">
            <v>52.63</v>
          </cell>
        </row>
        <row r="2646">
          <cell r="A2646" t="str">
            <v>5210036M</v>
          </cell>
          <cell r="B2646" t="str">
            <v>ZeroWire VESA Mounting Kit Radiance 42"/52"/55"</v>
          </cell>
          <cell r="C2646">
            <v>0</v>
          </cell>
          <cell r="D2646">
            <v>51.87</v>
          </cell>
        </row>
        <row r="2647">
          <cell r="A2647" t="str">
            <v>5210037M</v>
          </cell>
          <cell r="B2647" t="str">
            <v>ZeroWire Y Kabel für 32"Radiance Full MMI</v>
          </cell>
          <cell r="C2647">
            <v>0</v>
          </cell>
          <cell r="D2647">
            <v>51.11</v>
          </cell>
        </row>
        <row r="2648">
          <cell r="A2648" t="str">
            <v>5210038M</v>
          </cell>
          <cell r="B2648" t="str">
            <v>ZeroWire Zubehör Set für Radiance 19"/23"</v>
          </cell>
          <cell r="C2648">
            <v>0</v>
          </cell>
          <cell r="D2648">
            <v>177.73</v>
          </cell>
        </row>
        <row r="2649">
          <cell r="A2649" t="str">
            <v>5210039M</v>
          </cell>
          <cell r="B2649" t="str">
            <v>ZeroWire Zubehör Set für Radiance 24"/26"</v>
          </cell>
          <cell r="C2649">
            <v>0</v>
          </cell>
          <cell r="D2649">
            <v>127.38</v>
          </cell>
        </row>
        <row r="2650">
          <cell r="A2650" t="str">
            <v>5210040M</v>
          </cell>
          <cell r="B2650" t="str">
            <v>Packaged ZeroWire Accessory Kit</v>
          </cell>
          <cell r="C2650">
            <v>0</v>
          </cell>
          <cell r="D2650">
            <v>127.38</v>
          </cell>
        </row>
        <row r="2651">
          <cell r="A2651" t="str">
            <v>5210041M</v>
          </cell>
          <cell r="B2651" t="str">
            <v>Packaged ZeroWire Accessory Kit</v>
          </cell>
          <cell r="C2651">
            <v>0</v>
          </cell>
          <cell r="D2651">
            <v>162.47</v>
          </cell>
        </row>
        <row r="2652">
          <cell r="A2652" t="str">
            <v>5210042M</v>
          </cell>
          <cell r="B2652" t="str">
            <v>Netzteil für DOME Display</v>
          </cell>
          <cell r="C2652">
            <v>0</v>
          </cell>
          <cell r="D2652">
            <v>196</v>
          </cell>
        </row>
        <row r="2653">
          <cell r="A2653" t="str">
            <v>5210043M</v>
          </cell>
          <cell r="B2653" t="str">
            <v>NDS Vesa Mounting Kit für 24"-26"</v>
          </cell>
          <cell r="C2653">
            <v>0</v>
          </cell>
          <cell r="D2653">
            <v>50.3</v>
          </cell>
        </row>
        <row r="2654">
          <cell r="A2654" t="str">
            <v>5210044M</v>
          </cell>
          <cell r="B2654" t="str">
            <v>Netzteil Dome E4C</v>
          </cell>
          <cell r="C2654">
            <v>0</v>
          </cell>
          <cell r="D2654">
            <v>168.81</v>
          </cell>
        </row>
        <row r="2655">
          <cell r="A2655" t="str">
            <v>5210045M</v>
          </cell>
          <cell r="B2655" t="str">
            <v>Netzteil Dome/Planar 12V</v>
          </cell>
          <cell r="C2655">
            <v>0</v>
          </cell>
          <cell r="D2655">
            <v>205.86</v>
          </cell>
        </row>
        <row r="2656">
          <cell r="A2656" t="str">
            <v>5210046M</v>
          </cell>
          <cell r="B2656" t="str">
            <v>NDS Power Supply for Radiance 24</v>
          </cell>
          <cell r="C2656">
            <v>0</v>
          </cell>
          <cell r="D2656">
            <v>139.16999999999999</v>
          </cell>
        </row>
        <row r="2657">
          <cell r="A2657" t="str">
            <v>5210047M</v>
          </cell>
          <cell r="B2657" t="str">
            <v>Extra Stand for MQ219 Series</v>
          </cell>
          <cell r="C2657">
            <v>0</v>
          </cell>
          <cell r="D2657">
            <v>50</v>
          </cell>
        </row>
        <row r="2658">
          <cell r="A2658" t="str">
            <v>5210048M</v>
          </cell>
          <cell r="B2658" t="str">
            <v>ZeroWire DVI + SDI TX</v>
          </cell>
          <cell r="C2658">
            <v>0</v>
          </cell>
          <cell r="D2658">
            <v>1392.08</v>
          </cell>
        </row>
        <row r="2659">
          <cell r="A2659" t="str">
            <v>5210049M</v>
          </cell>
          <cell r="B2659" t="str">
            <v>4 Wire Touch Controller Board N16B-0558-B270</v>
          </cell>
          <cell r="C2659">
            <v>0</v>
          </cell>
          <cell r="D2659">
            <v>19.5</v>
          </cell>
        </row>
        <row r="2660">
          <cell r="A2660" t="str">
            <v>5210050M</v>
          </cell>
          <cell r="B2660" t="str">
            <v>PrismaECO III Board</v>
          </cell>
          <cell r="C2660">
            <v>107</v>
          </cell>
          <cell r="D2660">
            <v>73.28</v>
          </cell>
        </row>
        <row r="2661">
          <cell r="A2661" t="str">
            <v>5210051M</v>
          </cell>
          <cell r="B2661" t="str">
            <v>Converter GH434A(A3) (12V) DIM</v>
          </cell>
          <cell r="C2661">
            <v>47</v>
          </cell>
          <cell r="D2661">
            <v>14.99</v>
          </cell>
        </row>
        <row r="2662">
          <cell r="A2662" t="str">
            <v>5210052M</v>
          </cell>
          <cell r="B2662" t="str">
            <v>Touchcontroller (USB/21,5/23") TC ino ETP-MB</v>
          </cell>
          <cell r="C2662">
            <v>0</v>
          </cell>
          <cell r="D2662">
            <v>39.1</v>
          </cell>
        </row>
        <row r="2663">
          <cell r="A2663" t="str">
            <v>5210053M</v>
          </cell>
          <cell r="B2663" t="str">
            <v>Floatglas Sitherm ESG</v>
          </cell>
          <cell r="C2663">
            <v>0</v>
          </cell>
          <cell r="D2663">
            <v>70</v>
          </cell>
        </row>
        <row r="2664">
          <cell r="A2664" t="str">
            <v>5210054M</v>
          </cell>
          <cell r="B2664" t="str">
            <v>21,5" Display Schutzglas</v>
          </cell>
          <cell r="C2664">
            <v>0</v>
          </cell>
          <cell r="D2664">
            <v>269</v>
          </cell>
        </row>
        <row r="2665">
          <cell r="A2665" t="str">
            <v>5210055M</v>
          </cell>
          <cell r="B2665" t="str">
            <v>Touchcontroller DMC EXC7238 (PCAP, 17-22")</v>
          </cell>
          <cell r="C2665">
            <v>9</v>
          </cell>
          <cell r="D2665">
            <v>47.07</v>
          </cell>
        </row>
        <row r="2666">
          <cell r="A2666" t="str">
            <v>5210056M</v>
          </cell>
          <cell r="B2666" t="str">
            <v>Touch Panel DMC TP-4154S1F0 (21.5W, PCAP)</v>
          </cell>
          <cell r="C2666">
            <v>2</v>
          </cell>
          <cell r="D2666">
            <v>83.5</v>
          </cell>
        </row>
        <row r="2667">
          <cell r="A2667" t="str">
            <v>5210057M</v>
          </cell>
          <cell r="B2667" t="str">
            <v>Schutzglas POS-Line 21,5"</v>
          </cell>
          <cell r="C2667">
            <v>0</v>
          </cell>
          <cell r="D2667">
            <v>120</v>
          </cell>
        </row>
        <row r="2668">
          <cell r="A2668" t="str">
            <v>5210058M</v>
          </cell>
          <cell r="B2668" t="str">
            <v>Glaßscheibe Gloss 85LS 300x200x1.1mm</v>
          </cell>
          <cell r="C2668">
            <v>1</v>
          </cell>
          <cell r="D2668">
            <v>0</v>
          </cell>
        </row>
        <row r="2669">
          <cell r="A2669" t="str">
            <v>5210059M</v>
          </cell>
          <cell r="B2669" t="str">
            <v>Standfuß VESA75-100; 43cm bis 24"</v>
          </cell>
          <cell r="C2669">
            <v>1</v>
          </cell>
          <cell r="D2669">
            <v>81.900000000000006</v>
          </cell>
        </row>
        <row r="2670">
          <cell r="A2670" t="str">
            <v>5210060M</v>
          </cell>
          <cell r="B2670" t="str">
            <v>Glasscheibe AG Gloss 85 THA.leia 21.5" Vers. 2</v>
          </cell>
          <cell r="C2670">
            <v>36</v>
          </cell>
          <cell r="D2670">
            <v>64.7</v>
          </cell>
        </row>
        <row r="2671">
          <cell r="A2671" t="str">
            <v>5210061M</v>
          </cell>
          <cell r="B2671" t="str">
            <v>Glasscheibe AG Gloss 3mm, 525x320mm mit Touch</v>
          </cell>
          <cell r="C2671">
            <v>4</v>
          </cell>
          <cell r="D2671">
            <v>94.1</v>
          </cell>
        </row>
        <row r="2672">
          <cell r="A2672" t="str">
            <v>5210062M</v>
          </cell>
          <cell r="B2672" t="str">
            <v>Standfuß MCD Vision Line 19" (VESA 75)</v>
          </cell>
          <cell r="C2672">
            <v>1</v>
          </cell>
          <cell r="D2672">
            <v>22</v>
          </cell>
        </row>
        <row r="2673">
          <cell r="A2673" t="str">
            <v>5210063M</v>
          </cell>
          <cell r="B2673" t="str">
            <v>Touch 19" PCAP THA.leia 19"</v>
          </cell>
          <cell r="C2673">
            <v>0</v>
          </cell>
          <cell r="D2673">
            <v>82.9</v>
          </cell>
        </row>
        <row r="2674">
          <cell r="A2674" t="str">
            <v>5210064M</v>
          </cell>
          <cell r="B2674" t="str">
            <v>Touch Controller DMC DUS3000-190B060A THA.leia 19"</v>
          </cell>
          <cell r="C2674">
            <v>0</v>
          </cell>
          <cell r="D2674">
            <v>34.6</v>
          </cell>
        </row>
        <row r="2675">
          <cell r="A2675" t="str">
            <v>5210065M</v>
          </cell>
          <cell r="B2675" t="str">
            <v>Glasscheibe AG Gloss 85 THA.leia 19" Vers.2</v>
          </cell>
          <cell r="C2675">
            <v>0</v>
          </cell>
          <cell r="D2675">
            <v>68.2</v>
          </cell>
        </row>
        <row r="2676">
          <cell r="A2676" t="str">
            <v>5210066M</v>
          </cell>
          <cell r="B2676" t="str">
            <v>Bügelgriff für THA.leia, EB-200.33,Edelstahl</v>
          </cell>
          <cell r="C2676">
            <v>1</v>
          </cell>
          <cell r="D2676">
            <v>57.98</v>
          </cell>
        </row>
        <row r="2677">
          <cell r="A2677" t="str">
            <v>5210067M</v>
          </cell>
          <cell r="B2677" t="str">
            <v>Glasscheibe THA.leia 19" V2 mit Touch</v>
          </cell>
          <cell r="C2677">
            <v>0</v>
          </cell>
          <cell r="D2677">
            <v>195</v>
          </cell>
        </row>
        <row r="2678">
          <cell r="A2678" t="str">
            <v>5210068M</v>
          </cell>
          <cell r="B2678" t="str">
            <v>Touch Panel für Slimbook 240R-A (inkl. Klebstoff)</v>
          </cell>
          <cell r="C2678">
            <v>0</v>
          </cell>
          <cell r="D2678">
            <v>148</v>
          </cell>
        </row>
        <row r="2679">
          <cell r="A2679" t="str">
            <v>5210069M</v>
          </cell>
          <cell r="B2679" t="str">
            <v>Touchcontroller DMC EXC-190B060A (19.0, PCAP)</v>
          </cell>
          <cell r="C2679">
            <v>1</v>
          </cell>
          <cell r="D2679">
            <v>82.9</v>
          </cell>
        </row>
        <row r="2680">
          <cell r="A2680">
            <v>5210267</v>
          </cell>
          <cell r="B2680" t="str">
            <v>Toner OKI B6300  Druckkassette 17k</v>
          </cell>
          <cell r="C2680">
            <v>0</v>
          </cell>
          <cell r="D2680">
            <v>152</v>
          </cell>
        </row>
        <row r="2681">
          <cell r="A2681" t="str">
            <v>5300001M</v>
          </cell>
          <cell r="B2681" t="str">
            <v>TSP-143U-230 EU GRY Thermodirektdrucker</v>
          </cell>
          <cell r="C2681">
            <v>0</v>
          </cell>
          <cell r="D2681">
            <v>145</v>
          </cell>
        </row>
        <row r="2682">
          <cell r="A2682">
            <v>5300299</v>
          </cell>
          <cell r="B2682" t="str">
            <v>HP Deskjet  5940 Fotodrucker USB2.0    C9017B</v>
          </cell>
          <cell r="C2682">
            <v>0</v>
          </cell>
          <cell r="D2682">
            <v>61.5</v>
          </cell>
        </row>
        <row r="2683">
          <cell r="A2683">
            <v>5300314</v>
          </cell>
          <cell r="B2683" t="str">
            <v>HP Deskjet  6940 Fotodrucker USB2.0/Ethernet</v>
          </cell>
          <cell r="C2683">
            <v>0</v>
          </cell>
          <cell r="D2683">
            <v>96.5</v>
          </cell>
        </row>
        <row r="2684">
          <cell r="A2684">
            <v>5300324</v>
          </cell>
          <cell r="B2684" t="str">
            <v>HP Color LaserJet  3600N         Q5987A</v>
          </cell>
          <cell r="C2684">
            <v>0</v>
          </cell>
          <cell r="D2684">
            <v>345</v>
          </cell>
        </row>
        <row r="2685">
          <cell r="A2685" t="str">
            <v>5310001M</v>
          </cell>
          <cell r="B2685" t="str">
            <v>Toner OKI B411/431Toner schwarz</v>
          </cell>
          <cell r="C2685">
            <v>0</v>
          </cell>
          <cell r="D2685">
            <v>55.74</v>
          </cell>
        </row>
        <row r="2686">
          <cell r="A2686">
            <v>5350217</v>
          </cell>
          <cell r="B2686" t="str">
            <v>Canon Beamer LV-7250</v>
          </cell>
          <cell r="C2686">
            <v>0</v>
          </cell>
          <cell r="D2686">
            <v>1099</v>
          </cell>
        </row>
        <row r="2687">
          <cell r="A2687">
            <v>5350253</v>
          </cell>
          <cell r="B2687" t="str">
            <v>Canon Pixma Pro 9000 USB A3+ DVD/S-Ink/Pictbridge</v>
          </cell>
          <cell r="C2687">
            <v>0</v>
          </cell>
          <cell r="D2687">
            <v>471</v>
          </cell>
        </row>
        <row r="2688">
          <cell r="A2688">
            <v>5350354</v>
          </cell>
          <cell r="B2688" t="str">
            <v>Canon Pixma iP4600</v>
          </cell>
          <cell r="C2688">
            <v>0</v>
          </cell>
          <cell r="D2688">
            <v>71.5</v>
          </cell>
        </row>
        <row r="2689">
          <cell r="A2689">
            <v>5350424</v>
          </cell>
          <cell r="B2689" t="str">
            <v>Canon  Kamera IXUS 300 HS schwarz</v>
          </cell>
          <cell r="C2689">
            <v>0</v>
          </cell>
          <cell r="D2689">
            <v>150</v>
          </cell>
        </row>
        <row r="2690">
          <cell r="A2690">
            <v>5401152</v>
          </cell>
          <cell r="B2690" t="str">
            <v>Samsung Syncmaster TFT 941MP 19"</v>
          </cell>
          <cell r="C2690">
            <v>0</v>
          </cell>
          <cell r="D2690">
            <v>215</v>
          </cell>
        </row>
        <row r="2691">
          <cell r="A2691">
            <v>5401166</v>
          </cell>
          <cell r="B2691" t="str">
            <v>Samsung SyncMaster 720N 17" TCO99 Narrow</v>
          </cell>
          <cell r="C2691">
            <v>0</v>
          </cell>
          <cell r="D2691">
            <v>145</v>
          </cell>
        </row>
        <row r="2692">
          <cell r="A2692">
            <v>5401183</v>
          </cell>
          <cell r="B2692" t="str">
            <v>Samsung SyncMaster 2032BW 20", 2ms</v>
          </cell>
          <cell r="C2692">
            <v>0</v>
          </cell>
          <cell r="D2692">
            <v>170</v>
          </cell>
        </row>
        <row r="2693">
          <cell r="A2693">
            <v>5401185</v>
          </cell>
          <cell r="B2693" t="str">
            <v>Samsung SyncMaster 2232BW [2ms/ 22" Widescreen]</v>
          </cell>
          <cell r="C2693">
            <v>0</v>
          </cell>
          <cell r="D2693">
            <v>222</v>
          </cell>
        </row>
        <row r="2694">
          <cell r="A2694">
            <v>5401242</v>
          </cell>
          <cell r="B2694" t="str">
            <v>Samsung SyncMaster 943T 19"</v>
          </cell>
          <cell r="C2694">
            <v>0</v>
          </cell>
          <cell r="D2694">
            <v>205</v>
          </cell>
        </row>
        <row r="2695">
          <cell r="A2695">
            <v>5401245</v>
          </cell>
          <cell r="B2695" t="str">
            <v>Samsung SyncMaster 2243WM***</v>
          </cell>
          <cell r="C2695">
            <v>0</v>
          </cell>
          <cell r="D2695">
            <v>129</v>
          </cell>
        </row>
        <row r="2696">
          <cell r="A2696">
            <v>5401302</v>
          </cell>
          <cell r="B2696" t="str">
            <v>Samsung SyncMaster 943BR 19"</v>
          </cell>
          <cell r="C2696">
            <v>0</v>
          </cell>
          <cell r="D2696">
            <v>116.5</v>
          </cell>
        </row>
        <row r="2697">
          <cell r="A2697">
            <v>5401320</v>
          </cell>
          <cell r="B2697" t="str">
            <v>Samsung LFD SyncMaster Standfuss MX/CX/UX 32"-57"</v>
          </cell>
          <cell r="C2697">
            <v>0</v>
          </cell>
          <cell r="D2697">
            <v>22</v>
          </cell>
        </row>
        <row r="2698">
          <cell r="A2698">
            <v>5401386</v>
          </cell>
          <cell r="B2698" t="str">
            <v>Samsung SyncMaster P2250</v>
          </cell>
          <cell r="C2698">
            <v>0</v>
          </cell>
          <cell r="D2698">
            <v>150</v>
          </cell>
        </row>
        <row r="2699">
          <cell r="A2699">
            <v>5401405</v>
          </cell>
          <cell r="B2699" t="str">
            <v>Samsung LFD SyncMaster 320MX-2</v>
          </cell>
          <cell r="C2699">
            <v>0</v>
          </cell>
          <cell r="D2699">
            <v>479</v>
          </cell>
        </row>
        <row r="2700">
          <cell r="A2700">
            <v>5401491</v>
          </cell>
          <cell r="B2700" t="str">
            <v>Samsung SyncMaster B2230H</v>
          </cell>
          <cell r="C2700">
            <v>0</v>
          </cell>
          <cell r="D2700">
            <v>124.9</v>
          </cell>
        </row>
        <row r="2701">
          <cell r="A2701">
            <v>5401506</v>
          </cell>
          <cell r="B2701" t="str">
            <v>Samsung SyncMaster B2240W</v>
          </cell>
          <cell r="C2701">
            <v>0</v>
          </cell>
          <cell r="D2701">
            <v>142.9</v>
          </cell>
        </row>
        <row r="2702">
          <cell r="A2702">
            <v>5401507</v>
          </cell>
          <cell r="B2702" t="str">
            <v>Samsung SyncMaster B2240MW</v>
          </cell>
          <cell r="C2702">
            <v>0</v>
          </cell>
          <cell r="D2702">
            <v>156.9</v>
          </cell>
        </row>
        <row r="2703">
          <cell r="A2703">
            <v>5401509</v>
          </cell>
          <cell r="B2703" t="str">
            <v>Samsung SyncMaster BX2440 LED</v>
          </cell>
          <cell r="C2703">
            <v>0</v>
          </cell>
          <cell r="D2703">
            <v>169.9</v>
          </cell>
        </row>
        <row r="2704">
          <cell r="A2704">
            <v>5401608</v>
          </cell>
          <cell r="B2704" t="str">
            <v>Samsung SyncMaster S22A450BW black LED</v>
          </cell>
          <cell r="C2704">
            <v>0</v>
          </cell>
          <cell r="D2704">
            <v>152</v>
          </cell>
        </row>
        <row r="2705">
          <cell r="A2705">
            <v>5401638</v>
          </cell>
          <cell r="B2705" t="str">
            <v>Display S19A450MR LED</v>
          </cell>
          <cell r="C2705">
            <v>0</v>
          </cell>
          <cell r="D2705">
            <v>137.9</v>
          </cell>
        </row>
        <row r="2706">
          <cell r="A2706">
            <v>5600003</v>
          </cell>
          <cell r="B2706" t="str">
            <v>Samsung Slim Combo SN-M242C (DVD/CDRW)</v>
          </cell>
          <cell r="C2706">
            <v>0</v>
          </cell>
          <cell r="D2706">
            <v>35.9</v>
          </cell>
        </row>
        <row r="2707">
          <cell r="A2707">
            <v>5600005</v>
          </cell>
          <cell r="B2707" t="str">
            <v>Samsung DVD-ROM SH-D162x/BEBx BLACK bulk</v>
          </cell>
          <cell r="C2707">
            <v>0</v>
          </cell>
          <cell r="D2707">
            <v>11.5</v>
          </cell>
        </row>
        <row r="2708">
          <cell r="A2708">
            <v>5600006</v>
          </cell>
          <cell r="B2708" t="str">
            <v>Samsung Slim DVD±R/±RW SN-S082D inkl. Nero BLACK</v>
          </cell>
          <cell r="C2708">
            <v>0</v>
          </cell>
          <cell r="D2708">
            <v>38</v>
          </cell>
        </row>
        <row r="2709">
          <cell r="A2709">
            <v>5600011</v>
          </cell>
          <cell r="B2709" t="str">
            <v>Samsung DVD-ROM SH-D162x/BEWE Beige bulk</v>
          </cell>
          <cell r="C2709">
            <v>0</v>
          </cell>
          <cell r="D2709">
            <v>15</v>
          </cell>
        </row>
        <row r="2710">
          <cell r="A2710">
            <v>5600013</v>
          </cell>
          <cell r="B2710" t="str">
            <v>Samsung Slim DVD±R/±RW SN-S082H/BEBN Nero black</v>
          </cell>
          <cell r="C2710">
            <v>0</v>
          </cell>
          <cell r="D2710">
            <v>30</v>
          </cell>
        </row>
        <row r="2711">
          <cell r="A2711">
            <v>5600014</v>
          </cell>
          <cell r="B2711" t="str">
            <v>Samsung DVD-ROM [SATA] SH-D163B/BEBE BLACK bulk</v>
          </cell>
          <cell r="C2711">
            <v>0</v>
          </cell>
          <cell r="D2711">
            <v>12</v>
          </cell>
        </row>
        <row r="2712">
          <cell r="A2712">
            <v>5600015</v>
          </cell>
          <cell r="B2712" t="str">
            <v>Samsung DVD-ROM [SATA] SH-D163B/BEWE Beige bulk</v>
          </cell>
          <cell r="C2712">
            <v>0</v>
          </cell>
          <cell r="D2712">
            <v>11.92</v>
          </cell>
        </row>
        <row r="2713">
          <cell r="A2713">
            <v>5607074</v>
          </cell>
          <cell r="B2713" t="str">
            <v>Kabel LAN 3m</v>
          </cell>
          <cell r="C2713">
            <v>2</v>
          </cell>
          <cell r="D2713">
            <v>3.03</v>
          </cell>
        </row>
        <row r="2714">
          <cell r="A2714">
            <v>5607100</v>
          </cell>
          <cell r="B2714" t="str">
            <v>Kabel LAN 0.25m</v>
          </cell>
          <cell r="C2714">
            <v>0</v>
          </cell>
          <cell r="D2714">
            <v>1.2</v>
          </cell>
        </row>
        <row r="2715">
          <cell r="A2715">
            <v>5607103</v>
          </cell>
          <cell r="B2715" t="str">
            <v>Equip S/FTP Patchkabel  CAT6  2m  white</v>
          </cell>
          <cell r="C2715">
            <v>0</v>
          </cell>
          <cell r="D2715">
            <v>2</v>
          </cell>
        </row>
        <row r="2716">
          <cell r="A2716">
            <v>5607104</v>
          </cell>
          <cell r="B2716" t="str">
            <v>Kabel RJ45 Lan 3M</v>
          </cell>
          <cell r="C2716">
            <v>6</v>
          </cell>
          <cell r="D2716">
            <v>3</v>
          </cell>
        </row>
        <row r="2717">
          <cell r="A2717">
            <v>5607105</v>
          </cell>
          <cell r="B2717" t="str">
            <v>Equip S/FTP Patchkabel  CAT6  5m  white</v>
          </cell>
          <cell r="C2717">
            <v>0</v>
          </cell>
          <cell r="D2717">
            <v>4</v>
          </cell>
        </row>
        <row r="2718">
          <cell r="A2718">
            <v>5607106</v>
          </cell>
          <cell r="B2718" t="str">
            <v>Equip S/FTP Patchkabel  CAT6  10m  white</v>
          </cell>
          <cell r="C2718">
            <v>0</v>
          </cell>
          <cell r="D2718">
            <v>6</v>
          </cell>
        </row>
        <row r="2719">
          <cell r="A2719">
            <v>5609900</v>
          </cell>
          <cell r="B2719" t="str">
            <v>TP Netzwerktrennung MPG 10/100Base-T (RJ-45/RJ-45)</v>
          </cell>
          <cell r="C2719">
            <v>0</v>
          </cell>
          <cell r="D2719">
            <v>125</v>
          </cell>
        </row>
        <row r="2720">
          <cell r="A2720">
            <v>5609991</v>
          </cell>
          <cell r="B2720" t="str">
            <v>TP Netzwerktrennung MI100|Medical Isolator</v>
          </cell>
          <cell r="C2720">
            <v>0</v>
          </cell>
          <cell r="D2720">
            <v>96</v>
          </cell>
        </row>
        <row r="2721">
          <cell r="A2721">
            <v>5609992</v>
          </cell>
          <cell r="B2721" t="str">
            <v>TP Netzwerktrennung MI1000|Medical Isolator</v>
          </cell>
          <cell r="C2721">
            <v>1</v>
          </cell>
          <cell r="D2721">
            <v>89</v>
          </cell>
        </row>
        <row r="2722">
          <cell r="A2722">
            <v>5609993</v>
          </cell>
          <cell r="B2722" t="str">
            <v>MED Netzwerktrennung MI1005, 10/100/1000 MBit/s</v>
          </cell>
          <cell r="C2722">
            <v>0</v>
          </cell>
          <cell r="D2722">
            <v>81</v>
          </cell>
        </row>
        <row r="2723">
          <cell r="A2723">
            <v>5609995</v>
          </cell>
          <cell r="B2723" t="str">
            <v>Netzwerk-Isolator MI1005 10/100/1000 TP</v>
          </cell>
          <cell r="C2723">
            <v>1</v>
          </cell>
          <cell r="D2723">
            <v>89</v>
          </cell>
        </row>
        <row r="2724">
          <cell r="A2724">
            <v>5909900</v>
          </cell>
          <cell r="B2724" t="str">
            <v>Monitorkabel HDMI St/St 1m</v>
          </cell>
          <cell r="C2724">
            <v>99</v>
          </cell>
          <cell r="D2724">
            <v>1.42</v>
          </cell>
        </row>
        <row r="2725">
          <cell r="A2725">
            <v>5909901</v>
          </cell>
          <cell r="B2725" t="str">
            <v>Equip Monitorkabel HDMI St/St 3m HighSpeed 1.4</v>
          </cell>
          <cell r="C2725">
            <v>0</v>
          </cell>
          <cell r="D2725">
            <v>0</v>
          </cell>
        </row>
        <row r="2726">
          <cell r="A2726">
            <v>5909962</v>
          </cell>
          <cell r="B2726" t="str">
            <v>Monitorkabel VGA ST/ST 15/15 3.0m geschirmt</v>
          </cell>
          <cell r="C2726">
            <v>0</v>
          </cell>
          <cell r="D2726">
            <v>5.5</v>
          </cell>
        </row>
        <row r="2727">
          <cell r="A2727">
            <v>5909964</v>
          </cell>
          <cell r="B2727" t="str">
            <v>Monitorkabel VGA-Verläng. ST/BU 15/15 3.0m gesch.</v>
          </cell>
          <cell r="C2727">
            <v>0</v>
          </cell>
          <cell r="D2727">
            <v>4</v>
          </cell>
        </row>
        <row r="2728">
          <cell r="A2728">
            <v>5909965</v>
          </cell>
          <cell r="B2728" t="str">
            <v>Kabel VGA St/St 15/15  1.8m geschirmt</v>
          </cell>
          <cell r="C2728">
            <v>0</v>
          </cell>
          <cell r="D2728">
            <v>4.2</v>
          </cell>
        </row>
        <row r="2729">
          <cell r="A2729">
            <v>5909970</v>
          </cell>
          <cell r="B2729" t="str">
            <v>Monitorkabel VGA-Verläng. ST/BU 15/15 10m gesch.</v>
          </cell>
          <cell r="C2729">
            <v>0</v>
          </cell>
          <cell r="D2729">
            <v>7</v>
          </cell>
        </row>
        <row r="2730">
          <cell r="A2730">
            <v>5909975</v>
          </cell>
          <cell r="B2730" t="str">
            <v>Kabel HDMI St/St 2m drehbare Stecker</v>
          </cell>
          <cell r="C2730">
            <v>0</v>
          </cell>
          <cell r="D2730">
            <v>3.95</v>
          </cell>
        </row>
        <row r="2731">
          <cell r="A2731">
            <v>5909976</v>
          </cell>
          <cell r="B2731" t="str">
            <v>Equip Monitorkabel HDMI St/St 3m drehbare Stecker</v>
          </cell>
          <cell r="C2731">
            <v>0</v>
          </cell>
          <cell r="D2731">
            <v>3.9</v>
          </cell>
        </row>
        <row r="2732">
          <cell r="A2732">
            <v>5909978</v>
          </cell>
          <cell r="B2732" t="str">
            <v>Monitorkabel VGA ST/ST 15/15 5.0m geschirmt</v>
          </cell>
          <cell r="C2732">
            <v>0</v>
          </cell>
          <cell r="D2732">
            <v>7.5</v>
          </cell>
        </row>
        <row r="2733">
          <cell r="A2733">
            <v>5909988</v>
          </cell>
          <cell r="B2733" t="str">
            <v>Equip Monitorkabel HDMI St/St 19/19  2m gesch. ***</v>
          </cell>
          <cell r="C2733">
            <v>0</v>
          </cell>
          <cell r="D2733">
            <v>2.95</v>
          </cell>
        </row>
        <row r="2734">
          <cell r="A2734">
            <v>5909995</v>
          </cell>
          <cell r="B2734" t="str">
            <v>Equip Monitorkabel HDMI St/St 2m HighSpeed 1.4</v>
          </cell>
          <cell r="C2734">
            <v>0</v>
          </cell>
          <cell r="D2734">
            <v>2.95</v>
          </cell>
        </row>
        <row r="2735">
          <cell r="A2735">
            <v>5910000</v>
          </cell>
          <cell r="B2735" t="str">
            <v>Equip Monitorkabel Displayport auf DVI 2m black</v>
          </cell>
          <cell r="C2735">
            <v>0</v>
          </cell>
          <cell r="D2735">
            <v>6.9</v>
          </cell>
        </row>
        <row r="2736">
          <cell r="A2736" t="str">
            <v>6000001M</v>
          </cell>
          <cell r="B2736" t="str">
            <v>T10Y Battery Pack 3cell, 2400mAh</v>
          </cell>
          <cell r="C2736">
            <v>0</v>
          </cell>
          <cell r="D2736">
            <v>70</v>
          </cell>
        </row>
        <row r="2737">
          <cell r="A2737" t="str">
            <v>6000002M</v>
          </cell>
          <cell r="B2737" t="str">
            <v>T10Y Docking Station</v>
          </cell>
          <cell r="C2737">
            <v>0</v>
          </cell>
          <cell r="D2737">
            <v>195</v>
          </cell>
        </row>
        <row r="2738">
          <cell r="A2738" t="str">
            <v>6000003M</v>
          </cell>
          <cell r="B2738" t="str">
            <v>Medigenic Spare Cover</v>
          </cell>
          <cell r="C2738">
            <v>0</v>
          </cell>
          <cell r="D2738">
            <v>55</v>
          </cell>
        </row>
        <row r="2739">
          <cell r="A2739" t="str">
            <v>6000004M</v>
          </cell>
          <cell r="B2739" t="str">
            <v>Pen Tether, 10er Pack</v>
          </cell>
          <cell r="C2739">
            <v>0</v>
          </cell>
          <cell r="D2739">
            <v>26.74</v>
          </cell>
        </row>
        <row r="2740">
          <cell r="A2740" t="str">
            <v>6000005M</v>
          </cell>
          <cell r="B2740" t="str">
            <v>AC Power Pack 3 Prong - Euro</v>
          </cell>
          <cell r="C2740">
            <v>0</v>
          </cell>
          <cell r="D2740">
            <v>25.46</v>
          </cell>
        </row>
        <row r="2741">
          <cell r="A2741" t="str">
            <v>6000006M</v>
          </cell>
          <cell r="B2741" t="str">
            <v>Modula Professional Full Docking</v>
          </cell>
          <cell r="C2741">
            <v>0</v>
          </cell>
          <cell r="D2741">
            <v>129</v>
          </cell>
        </row>
        <row r="2742">
          <cell r="A2742" t="str">
            <v>6000007M</v>
          </cell>
          <cell r="B2742" t="str">
            <v>Akku für Modula 15" Serie</v>
          </cell>
          <cell r="C2742">
            <v>0</v>
          </cell>
          <cell r="D2742">
            <v>99</v>
          </cell>
        </row>
        <row r="2743">
          <cell r="A2743" t="str">
            <v>6000008M</v>
          </cell>
          <cell r="B2743" t="str">
            <v>Akku für Modula Slim (13,3")</v>
          </cell>
          <cell r="C2743">
            <v>0</v>
          </cell>
          <cell r="D2743">
            <v>99</v>
          </cell>
        </row>
        <row r="2744">
          <cell r="A2744" t="str">
            <v>6000009M</v>
          </cell>
          <cell r="B2744" t="str">
            <v>Black Additional Digitizer Pen</v>
          </cell>
          <cell r="C2744">
            <v>0</v>
          </cell>
          <cell r="D2744">
            <v>25.2</v>
          </cell>
        </row>
        <row r="2745">
          <cell r="A2745" t="str">
            <v>6000010M</v>
          </cell>
          <cell r="B2745" t="str">
            <v>J-Series Bump Case</v>
          </cell>
          <cell r="C2745">
            <v>0</v>
          </cell>
          <cell r="D2745">
            <v>98.5</v>
          </cell>
        </row>
        <row r="2746">
          <cell r="A2746" t="str">
            <v>6000011M</v>
          </cell>
          <cell r="B2746" t="str">
            <v>Docking Station-T10Y, V-DOCK with VGA port, USB x1</v>
          </cell>
          <cell r="C2746">
            <v>0</v>
          </cell>
          <cell r="D2746">
            <v>210</v>
          </cell>
        </row>
        <row r="2747">
          <cell r="A2747" t="str">
            <v>6000012M</v>
          </cell>
          <cell r="B2747" t="str">
            <v>Docking Station-T10Y</v>
          </cell>
          <cell r="C2747">
            <v>0</v>
          </cell>
          <cell r="D2747">
            <v>170</v>
          </cell>
        </row>
        <row r="2748">
          <cell r="A2748" t="str">
            <v>6000013M</v>
          </cell>
          <cell r="B2748" t="str">
            <v>Programmierbare Steckdosenleiste AMD</v>
          </cell>
          <cell r="C2748">
            <v>0</v>
          </cell>
          <cell r="D2748">
            <v>23.7</v>
          </cell>
        </row>
        <row r="2749">
          <cell r="A2749" t="str">
            <v>6000014M</v>
          </cell>
          <cell r="B2749" t="str">
            <v>Docking Station für T10L</v>
          </cell>
          <cell r="C2749">
            <v>0</v>
          </cell>
          <cell r="D2749">
            <v>198.85</v>
          </cell>
        </row>
        <row r="2750">
          <cell r="A2750" t="str">
            <v>6000015M</v>
          </cell>
          <cell r="B2750" t="str">
            <v>UMTS Modul</v>
          </cell>
          <cell r="C2750">
            <v>0</v>
          </cell>
          <cell r="D2750">
            <v>109</v>
          </cell>
        </row>
        <row r="2751">
          <cell r="A2751" t="str">
            <v>6000016M</v>
          </cell>
          <cell r="B2751" t="str">
            <v>LE-Series Additional Standard Battery</v>
          </cell>
          <cell r="C2751">
            <v>0</v>
          </cell>
          <cell r="D2751">
            <v>120</v>
          </cell>
        </row>
        <row r="2752">
          <cell r="A2752" t="str">
            <v>6000017M</v>
          </cell>
          <cell r="B2752" t="str">
            <v>PaceBlade DockingStation PM240-Black</v>
          </cell>
          <cell r="C2752">
            <v>0</v>
          </cell>
          <cell r="D2752">
            <v>148</v>
          </cell>
        </row>
        <row r="2753">
          <cell r="A2753" t="str">
            <v>6000018M</v>
          </cell>
          <cell r="B2753" t="str">
            <v>Wechselrahmen 3.5" für 1x 2.5" HDD</v>
          </cell>
          <cell r="C2753">
            <v>1</v>
          </cell>
          <cell r="D2753">
            <v>14.8</v>
          </cell>
        </row>
        <row r="2754">
          <cell r="A2754">
            <v>6001012</v>
          </cell>
          <cell r="B2754" t="str">
            <v>Ferritkern mit Kunststoffgehäuse</v>
          </cell>
          <cell r="C2754">
            <v>668</v>
          </cell>
          <cell r="D2754">
            <v>0.68</v>
          </cell>
        </row>
        <row r="2755">
          <cell r="A2755">
            <v>6001013</v>
          </cell>
          <cell r="B2755" t="str">
            <v>Ferritkern mit Kunstoffgehäuse</v>
          </cell>
          <cell r="C2755">
            <v>82</v>
          </cell>
          <cell r="D2755">
            <v>1.41</v>
          </cell>
        </row>
        <row r="2756">
          <cell r="A2756">
            <v>6001014</v>
          </cell>
          <cell r="B2756" t="str">
            <v>MPG Sicherungsadapter</v>
          </cell>
          <cell r="C2756">
            <v>150</v>
          </cell>
          <cell r="D2756">
            <v>14</v>
          </cell>
        </row>
        <row r="2757">
          <cell r="A2757">
            <v>6002000</v>
          </cell>
          <cell r="B2757" t="str">
            <v>Ferritkern UL</v>
          </cell>
          <cell r="C2757">
            <v>107</v>
          </cell>
          <cell r="D2757">
            <v>2</v>
          </cell>
        </row>
        <row r="2758">
          <cell r="A2758">
            <v>6002009</v>
          </cell>
          <cell r="B2758" t="str">
            <v>EMV Dichtungen PANA.ceia</v>
          </cell>
          <cell r="C2758">
            <v>55</v>
          </cell>
          <cell r="D2758">
            <v>4.53</v>
          </cell>
        </row>
        <row r="2759">
          <cell r="A2759">
            <v>6002010</v>
          </cell>
          <cell r="B2759" t="str">
            <v>EMV Dichtung 6x6mm 16mm</v>
          </cell>
          <cell r="C2759">
            <v>8008</v>
          </cell>
          <cell r="D2759">
            <v>0.19</v>
          </cell>
        </row>
        <row r="2760">
          <cell r="A2760">
            <v>6002011</v>
          </cell>
          <cell r="B2760" t="str">
            <v>EMV Dichtung Front AIDA HD SmartScreen</v>
          </cell>
          <cell r="C2760">
            <v>1703</v>
          </cell>
          <cell r="D2760">
            <v>0.56999999999999995</v>
          </cell>
        </row>
        <row r="2761">
          <cell r="A2761">
            <v>6002013</v>
          </cell>
          <cell r="B2761" t="str">
            <v>EMV Dichtung 11.3x2.7x300mm</v>
          </cell>
          <cell r="C2761">
            <v>880</v>
          </cell>
          <cell r="D2761">
            <v>1.35</v>
          </cell>
        </row>
        <row r="2762">
          <cell r="A2762">
            <v>6002014</v>
          </cell>
          <cell r="B2762" t="str">
            <v>EMV Dichtung  6x3x278mm</v>
          </cell>
          <cell r="C2762">
            <v>1038</v>
          </cell>
          <cell r="D2762">
            <v>1.07</v>
          </cell>
        </row>
        <row r="2763">
          <cell r="A2763">
            <v>6002016</v>
          </cell>
          <cell r="B2763" t="str">
            <v>Gehäuse AC2 MPG EMV Dichtung</v>
          </cell>
          <cell r="C2763">
            <v>126</v>
          </cell>
          <cell r="D2763">
            <v>4.9000000000000004</v>
          </cell>
        </row>
        <row r="2764">
          <cell r="A2764" t="str">
            <v>6100001M</v>
          </cell>
          <cell r="B2764" t="str">
            <v>Ergotron Style View HD Combo System</v>
          </cell>
          <cell r="C2764">
            <v>0</v>
          </cell>
          <cell r="D2764">
            <v>441.1</v>
          </cell>
        </row>
        <row r="2765">
          <cell r="A2765" t="str">
            <v>6100002M</v>
          </cell>
          <cell r="B2765" t="str">
            <v>LCD Wandhalterung Slim silber Vesa</v>
          </cell>
          <cell r="C2765">
            <v>0</v>
          </cell>
          <cell r="D2765">
            <v>16.7</v>
          </cell>
        </row>
        <row r="2766">
          <cell r="A2766" t="str">
            <v>6100003M</v>
          </cell>
          <cell r="B2766" t="str">
            <v>Ergotron Neo Flex HD</v>
          </cell>
          <cell r="C2766">
            <v>0</v>
          </cell>
          <cell r="D2766">
            <v>38</v>
          </cell>
        </row>
        <row r="2767">
          <cell r="A2767" t="str">
            <v>6100004M</v>
          </cell>
          <cell r="B2767" t="str">
            <v>Dreh und Schwenkeinheit (für Gerätewagen)</v>
          </cell>
          <cell r="C2767">
            <v>0</v>
          </cell>
          <cell r="D2767">
            <v>80.599999999999994</v>
          </cell>
        </row>
        <row r="2768">
          <cell r="A2768" t="str">
            <v>6100005M</v>
          </cell>
          <cell r="B2768" t="str">
            <v>Universalwinkel (für Gerätewagen)</v>
          </cell>
          <cell r="C2768">
            <v>0</v>
          </cell>
          <cell r="D2768">
            <v>80.599999999999994</v>
          </cell>
        </row>
        <row r="2769">
          <cell r="A2769" t="str">
            <v>6100006M</v>
          </cell>
          <cell r="B2769" t="str">
            <v>Standfuss Panel PC</v>
          </cell>
          <cell r="C2769">
            <v>0</v>
          </cell>
          <cell r="D2769">
            <v>103.5</v>
          </cell>
        </row>
        <row r="2770">
          <cell r="A2770" t="str">
            <v>6100011M</v>
          </cell>
          <cell r="B2770" t="str">
            <v>Ersatzbatterie Pro Cart</v>
          </cell>
          <cell r="C2770">
            <v>0</v>
          </cell>
          <cell r="D2770">
            <v>99</v>
          </cell>
        </row>
        <row r="2771">
          <cell r="A2771" t="str">
            <v>6100012M</v>
          </cell>
          <cell r="B2771" t="str">
            <v>Ergotron Neo Flex HD Wall Mount Swing</v>
          </cell>
          <cell r="C2771">
            <v>0</v>
          </cell>
          <cell r="D2771">
            <v>63.37</v>
          </cell>
        </row>
        <row r="2772">
          <cell r="A2772" t="str">
            <v>6100013M</v>
          </cell>
          <cell r="B2772" t="str">
            <v>Neo-Flex Widescrenn Lift Stand</v>
          </cell>
          <cell r="C2772">
            <v>0</v>
          </cell>
          <cell r="D2772">
            <v>115.97</v>
          </cell>
        </row>
        <row r="2773">
          <cell r="A2773" t="str">
            <v>6100014M</v>
          </cell>
          <cell r="B2773" t="str">
            <v>Gerärewandhalterungslösung Dummy</v>
          </cell>
          <cell r="C2773">
            <v>0</v>
          </cell>
          <cell r="D2773">
            <v>0</v>
          </cell>
        </row>
        <row r="2774">
          <cell r="A2774" t="str">
            <v>6100015M</v>
          </cell>
          <cell r="B2774" t="str">
            <v>Ergotron LX Montagearm für 2 Monitore</v>
          </cell>
          <cell r="C2774">
            <v>0</v>
          </cell>
          <cell r="D2774">
            <v>180.2</v>
          </cell>
        </row>
        <row r="2775">
          <cell r="A2775" t="str">
            <v>6100016M</v>
          </cell>
          <cell r="B2775" t="str">
            <v>Vesa-Adapter Platte 612 für Multiq.215 Solar</v>
          </cell>
          <cell r="C2775">
            <v>0</v>
          </cell>
          <cell r="D2775">
            <v>20</v>
          </cell>
        </row>
        <row r="2776">
          <cell r="A2776" t="str">
            <v>6100017M</v>
          </cell>
          <cell r="B2776" t="str">
            <v>Tischträger H 340 mm (freistehend)</v>
          </cell>
          <cell r="C2776">
            <v>0</v>
          </cell>
          <cell r="D2776">
            <v>196</v>
          </cell>
        </row>
        <row r="2777">
          <cell r="A2777" t="str">
            <v>6200001M</v>
          </cell>
          <cell r="B2777" t="str">
            <v>USB Isolator STD 1.0 LWL</v>
          </cell>
          <cell r="C2777">
            <v>0</v>
          </cell>
          <cell r="D2777">
            <v>132</v>
          </cell>
        </row>
        <row r="2778">
          <cell r="A2778" t="str">
            <v>6200002M</v>
          </cell>
          <cell r="B2778" t="str">
            <v>USB Isolator STD 1.5 LWL</v>
          </cell>
          <cell r="C2778">
            <v>0</v>
          </cell>
          <cell r="D2778">
            <v>187</v>
          </cell>
        </row>
        <row r="2779">
          <cell r="A2779" t="str">
            <v>6200003M</v>
          </cell>
          <cell r="B2779" t="str">
            <v>Netzwerkisolator EN-30</v>
          </cell>
          <cell r="C2779">
            <v>0</v>
          </cell>
          <cell r="D2779">
            <v>117</v>
          </cell>
        </row>
        <row r="2780">
          <cell r="A2780" t="str">
            <v>6200004M</v>
          </cell>
          <cell r="B2780" t="str">
            <v>RS232 Isolator STD 2.5KV B 9Pin</v>
          </cell>
          <cell r="C2780">
            <v>12</v>
          </cell>
          <cell r="D2780">
            <v>53.5</v>
          </cell>
        </row>
        <row r="2781">
          <cell r="A2781" t="str">
            <v>6300001M</v>
          </cell>
          <cell r="B2781" t="str">
            <v>Med. PC-Netzteil 350W/90-264VAC/ 1HE</v>
          </cell>
          <cell r="C2781">
            <v>0</v>
          </cell>
          <cell r="D2781">
            <v>120.56</v>
          </cell>
        </row>
        <row r="2782">
          <cell r="A2782" t="str">
            <v>6300002M</v>
          </cell>
          <cell r="B2782" t="str">
            <v>externes Netzteil für Display MQ215</v>
          </cell>
          <cell r="C2782">
            <v>0</v>
          </cell>
          <cell r="D2782">
            <v>0</v>
          </cell>
        </row>
        <row r="2783">
          <cell r="A2783" t="str">
            <v>6300003M</v>
          </cell>
          <cell r="B2783" t="str">
            <v>externes Netzteil für Display MQ219</v>
          </cell>
          <cell r="C2783">
            <v>0</v>
          </cell>
          <cell r="D2783">
            <v>0</v>
          </cell>
        </row>
        <row r="2784">
          <cell r="A2784" t="str">
            <v>6300004M</v>
          </cell>
          <cell r="B2784" t="str">
            <v>Externes Akkuladegerät für Standard-Akku</v>
          </cell>
          <cell r="C2784">
            <v>0</v>
          </cell>
          <cell r="D2784">
            <v>56</v>
          </cell>
        </row>
        <row r="2785">
          <cell r="A2785" t="str">
            <v>6300005M</v>
          </cell>
          <cell r="B2785" t="str">
            <v>Erweiterungs-Akku mit abnehmbaren Aufsteller 7.5 A</v>
          </cell>
          <cell r="C2785">
            <v>0</v>
          </cell>
          <cell r="D2785">
            <v>185</v>
          </cell>
        </row>
        <row r="2786">
          <cell r="A2786" t="str">
            <v>6300006M</v>
          </cell>
          <cell r="B2786" t="str">
            <v>Med. Tischnetzteil 100W für Notebook HP6830</v>
          </cell>
          <cell r="C2786">
            <v>0</v>
          </cell>
          <cell r="D2786">
            <v>79</v>
          </cell>
        </row>
        <row r="2787">
          <cell r="A2787" t="str">
            <v>6300007M</v>
          </cell>
          <cell r="B2787" t="str">
            <v>Med. PC-Netzteil 400W/90-264VAC/ ATX</v>
          </cell>
          <cell r="C2787">
            <v>0</v>
          </cell>
          <cell r="D2787">
            <v>98</v>
          </cell>
        </row>
        <row r="2788">
          <cell r="A2788" t="str">
            <v>6300008M</v>
          </cell>
          <cell r="B2788" t="str">
            <v>Med. Tischnetzteil 60W  - Medistar PT</v>
          </cell>
          <cell r="C2788">
            <v>0</v>
          </cell>
          <cell r="D2788">
            <v>21.5</v>
          </cell>
        </row>
        <row r="2789">
          <cell r="A2789" t="str">
            <v>6300009M</v>
          </cell>
          <cell r="B2789" t="str">
            <v>ATX PC Netzteil BEP-510C DC Eingang 120W</v>
          </cell>
          <cell r="C2789">
            <v>0</v>
          </cell>
          <cell r="D2789">
            <v>62</v>
          </cell>
        </row>
        <row r="2790">
          <cell r="A2790" t="str">
            <v>6300010M</v>
          </cell>
          <cell r="B2790" t="str">
            <v>SNP-Z107-M; med. open frame Netzteil 100W</v>
          </cell>
          <cell r="C2790">
            <v>0</v>
          </cell>
          <cell r="D2790">
            <v>38.25</v>
          </cell>
        </row>
        <row r="2791">
          <cell r="A2791" t="str">
            <v>6300011M</v>
          </cell>
          <cell r="B2791" t="str">
            <v>Netzteil Zubehör Pack Aescu.certus</v>
          </cell>
          <cell r="C2791">
            <v>0</v>
          </cell>
          <cell r="D2791">
            <v>76</v>
          </cell>
        </row>
        <row r="2792">
          <cell r="A2792" t="str">
            <v>6300012M</v>
          </cell>
          <cell r="B2792" t="str">
            <v>picoPSU-120; DC-DC Wandler ATX 120W</v>
          </cell>
          <cell r="C2792">
            <v>0</v>
          </cell>
          <cell r="D2792">
            <v>49</v>
          </cell>
        </row>
        <row r="2793">
          <cell r="A2793" t="str">
            <v>6300013M</v>
          </cell>
          <cell r="B2793" t="str">
            <v>medizinisches Tischnetzteil Panel PC</v>
          </cell>
          <cell r="C2793">
            <v>0</v>
          </cell>
          <cell r="D2793">
            <v>103</v>
          </cell>
        </row>
        <row r="2794">
          <cell r="A2794" t="str">
            <v>6300014M</v>
          </cell>
          <cell r="B2794" t="str">
            <v>SNP-A107-M; med. Tisch Netzteil 90W</v>
          </cell>
          <cell r="C2794">
            <v>0</v>
          </cell>
          <cell r="D2794">
            <v>99</v>
          </cell>
        </row>
        <row r="2795">
          <cell r="A2795" t="str">
            <v>6300015M</v>
          </cell>
          <cell r="B2795" t="str">
            <v>Med. PC-Netzteil 600W/90-264VAC/ ATX</v>
          </cell>
          <cell r="C2795">
            <v>6</v>
          </cell>
          <cell r="D2795">
            <v>148.97999999999999</v>
          </cell>
        </row>
        <row r="2796">
          <cell r="A2796" t="str">
            <v>6300016M</v>
          </cell>
          <cell r="B2796" t="str">
            <v>AC/DC Netzteil AMM120PS12</v>
          </cell>
          <cell r="C2796">
            <v>0</v>
          </cell>
          <cell r="D2796">
            <v>120.4</v>
          </cell>
        </row>
        <row r="2797">
          <cell r="A2797" t="str">
            <v>6300017M</v>
          </cell>
          <cell r="B2797" t="str">
            <v>AC/DC Netzteil AFM45US12</v>
          </cell>
          <cell r="C2797">
            <v>0</v>
          </cell>
          <cell r="D2797">
            <v>39</v>
          </cell>
        </row>
        <row r="2798">
          <cell r="A2798" t="str">
            <v>6300018M</v>
          </cell>
          <cell r="B2798" t="str">
            <v>Power Supply 24V, 120W</v>
          </cell>
          <cell r="C2798">
            <v>0</v>
          </cell>
          <cell r="D2798">
            <v>140.68</v>
          </cell>
        </row>
        <row r="2799">
          <cell r="A2799" t="str">
            <v>6300019M</v>
          </cell>
          <cell r="B2799" t="str">
            <v>Power Supply 24V, 150W</v>
          </cell>
          <cell r="C2799">
            <v>0</v>
          </cell>
          <cell r="D2799">
            <v>0</v>
          </cell>
        </row>
        <row r="2800">
          <cell r="A2800" t="str">
            <v>6300030M</v>
          </cell>
          <cell r="B2800" t="str">
            <v>Externes medizinisches Netzteil MCD Medical Line</v>
          </cell>
          <cell r="C2800">
            <v>9</v>
          </cell>
          <cell r="D2800">
            <v>77.040000000000006</v>
          </cell>
        </row>
        <row r="2801">
          <cell r="A2801" t="str">
            <v>6300032M</v>
          </cell>
          <cell r="B2801" t="str">
            <v>Med. Tischnetzteil EN60601 Typ A</v>
          </cell>
          <cell r="C2801">
            <v>0</v>
          </cell>
          <cell r="D2801">
            <v>45</v>
          </cell>
        </row>
        <row r="2802">
          <cell r="A2802" t="str">
            <v>6300033M</v>
          </cell>
          <cell r="B2802" t="str">
            <v>Netzteil BEP-510-C 120 W</v>
          </cell>
          <cell r="C2802">
            <v>21</v>
          </cell>
          <cell r="D2802">
            <v>72</v>
          </cell>
        </row>
        <row r="2803">
          <cell r="A2803" t="str">
            <v>6300034M</v>
          </cell>
          <cell r="B2803" t="str">
            <v>Power Supply 12V</v>
          </cell>
          <cell r="C2803">
            <v>0</v>
          </cell>
          <cell r="D2803">
            <v>192</v>
          </cell>
        </row>
        <row r="2804">
          <cell r="A2804" t="str">
            <v>6300035M</v>
          </cell>
          <cell r="B2804" t="str">
            <v>Netzteil 350W Lüfterlos BEU-350</v>
          </cell>
          <cell r="C2804">
            <v>3</v>
          </cell>
          <cell r="D2804">
            <v>239.53</v>
          </cell>
        </row>
        <row r="2805">
          <cell r="A2805" t="str">
            <v>6300036M</v>
          </cell>
          <cell r="B2805" t="str">
            <v>Netzteil 350W MV1E-5350V KST</v>
          </cell>
          <cell r="C2805">
            <v>0</v>
          </cell>
          <cell r="D2805">
            <v>114.68</v>
          </cell>
        </row>
        <row r="2806">
          <cell r="A2806" t="str">
            <v>6300037M</v>
          </cell>
          <cell r="B2806" t="str">
            <v>Med. Tischnetzteil EN60601 3rd. MQ219</v>
          </cell>
          <cell r="C2806">
            <v>0</v>
          </cell>
          <cell r="D2806">
            <v>57</v>
          </cell>
        </row>
        <row r="2807">
          <cell r="A2807" t="str">
            <v>6300038M</v>
          </cell>
          <cell r="B2807" t="str">
            <v>Netzteil 500W ATX NT-MRG-6500P</v>
          </cell>
          <cell r="C2807">
            <v>0</v>
          </cell>
          <cell r="D2807">
            <v>308</v>
          </cell>
        </row>
        <row r="2808">
          <cell r="A2808" t="str">
            <v>6300039M</v>
          </cell>
          <cell r="B2808" t="str">
            <v>Netzteil PA-1061-01 LT-LF (12V / 5A)</v>
          </cell>
          <cell r="C2808">
            <v>0</v>
          </cell>
          <cell r="D2808">
            <v>37.700000000000003</v>
          </cell>
        </row>
        <row r="2809">
          <cell r="A2809" t="str">
            <v>6300040M</v>
          </cell>
          <cell r="B2809" t="str">
            <v>Power Cord EU-Connector black 1,8m</v>
          </cell>
          <cell r="C2809">
            <v>1</v>
          </cell>
          <cell r="D2809">
            <v>6.7</v>
          </cell>
        </row>
        <row r="2810">
          <cell r="A2810" t="str">
            <v>6300041M</v>
          </cell>
          <cell r="B2810" t="str">
            <v>Netzteil AC2 Strom Komp. Drossel mit Platine</v>
          </cell>
          <cell r="C2810">
            <v>109</v>
          </cell>
          <cell r="D2810">
            <v>11.8</v>
          </cell>
        </row>
        <row r="2811">
          <cell r="A2811" t="str">
            <v>6300042M</v>
          </cell>
          <cell r="B2811" t="str">
            <v>Netzteil 350W Lüfterlos BEU-350 mod.</v>
          </cell>
          <cell r="C2811">
            <v>164</v>
          </cell>
          <cell r="D2811">
            <v>238.2</v>
          </cell>
        </row>
        <row r="2812">
          <cell r="A2812" t="str">
            <v>6300043M</v>
          </cell>
          <cell r="B2812" t="str">
            <v>Netzteil 350W Lüfterlos BEO-3512M-B1</v>
          </cell>
          <cell r="C2812">
            <v>0</v>
          </cell>
          <cell r="D2812">
            <v>148.4</v>
          </cell>
        </row>
        <row r="2813">
          <cell r="A2813" t="str">
            <v>6300044M</v>
          </cell>
          <cell r="B2813" t="str">
            <v>Netzteilwandler 150W Lüfterlos DC150W-B1</v>
          </cell>
          <cell r="C2813">
            <v>0</v>
          </cell>
          <cell r="D2813">
            <v>48.8</v>
          </cell>
        </row>
        <row r="2814">
          <cell r="A2814" t="str">
            <v>6300045M</v>
          </cell>
          <cell r="B2814" t="str">
            <v>Filterplatine OMNI.view 21,5"</v>
          </cell>
          <cell r="C2814">
            <v>0</v>
          </cell>
          <cell r="D2814">
            <v>22.3</v>
          </cell>
        </row>
        <row r="2815">
          <cell r="A2815" t="str">
            <v>6300046M</v>
          </cell>
          <cell r="B2815" t="str">
            <v>Ext. Med. Netzteil OMNI.view 21,5" ohne Stecker</v>
          </cell>
          <cell r="C2815">
            <v>0</v>
          </cell>
          <cell r="D2815">
            <v>44.82</v>
          </cell>
        </row>
        <row r="2816">
          <cell r="A2816" t="str">
            <v>6300047M</v>
          </cell>
          <cell r="B2816" t="str">
            <v>Netzteil 350W Lüfterlos BEU-350 mod. V2</v>
          </cell>
          <cell r="C2816">
            <v>0</v>
          </cell>
          <cell r="D2816">
            <v>0</v>
          </cell>
        </row>
        <row r="2817">
          <cell r="A2817" t="str">
            <v>6300048M</v>
          </cell>
          <cell r="B2817" t="str">
            <v>Netzteil ATX-DC/DC Wandler 150W</v>
          </cell>
          <cell r="C2817">
            <v>1</v>
          </cell>
          <cell r="D2817">
            <v>25</v>
          </cell>
        </row>
        <row r="2818">
          <cell r="A2818" t="str">
            <v>6300049M</v>
          </cell>
          <cell r="B2818" t="str">
            <v>Externes Netzteil CANVYS</v>
          </cell>
          <cell r="C2818">
            <v>0</v>
          </cell>
          <cell r="D2818">
            <v>75</v>
          </cell>
        </row>
        <row r="2819">
          <cell r="A2819" t="str">
            <v>6400001M</v>
          </cell>
          <cell r="B2819" t="str">
            <v>Pro-Cart AMD" Gerätewagen - 30E</v>
          </cell>
          <cell r="C2819">
            <v>0</v>
          </cell>
          <cell r="D2819">
            <v>729</v>
          </cell>
        </row>
        <row r="2820">
          <cell r="A2820" t="str">
            <v>6400002M</v>
          </cell>
          <cell r="B2820" t="str">
            <v>"Pro-Cart AMD" Gerätewagen Final Solution</v>
          </cell>
          <cell r="C2820">
            <v>0</v>
          </cell>
          <cell r="D2820">
            <v>288</v>
          </cell>
        </row>
        <row r="2821">
          <cell r="A2821" t="str">
            <v>6400003M</v>
          </cell>
          <cell r="B2821" t="str">
            <v>MCD Gerätewagen AESCU.mobilus - PROTO</v>
          </cell>
          <cell r="C2821">
            <v>0</v>
          </cell>
          <cell r="D2821">
            <v>1874</v>
          </cell>
        </row>
        <row r="2822">
          <cell r="A2822" t="str">
            <v>6400004M</v>
          </cell>
          <cell r="B2822" t="str">
            <v>VESA Halterung AESCU.mobilus</v>
          </cell>
          <cell r="C2822">
            <v>0</v>
          </cell>
          <cell r="D2822">
            <v>57.85</v>
          </cell>
        </row>
        <row r="2823">
          <cell r="A2823" t="str">
            <v>6400005M</v>
          </cell>
          <cell r="B2823" t="str">
            <v>MCD Gerätewagen - Akku - höhenverstellbar</v>
          </cell>
          <cell r="C2823">
            <v>0</v>
          </cell>
          <cell r="D2823">
            <v>2436.1999999999998</v>
          </cell>
        </row>
        <row r="2824">
          <cell r="A2824" t="str">
            <v>6400006M</v>
          </cell>
          <cell r="B2824" t="str">
            <v>MCD Gerätewagen - Akku - nicht höhenverstellbar</v>
          </cell>
          <cell r="C2824">
            <v>0</v>
          </cell>
          <cell r="D2824">
            <v>2144</v>
          </cell>
        </row>
        <row r="2825">
          <cell r="A2825" t="str">
            <v>6400007M</v>
          </cell>
          <cell r="B2825" t="str">
            <v>MCD Gerätewagen-ohne Akku-nicht höhenverstellbar</v>
          </cell>
          <cell r="C2825">
            <v>0</v>
          </cell>
          <cell r="D2825">
            <v>1254</v>
          </cell>
        </row>
        <row r="2826">
          <cell r="A2826" t="str">
            <v>6400008M</v>
          </cell>
          <cell r="B2826" t="str">
            <v>Registerauszug für Gerätewagen</v>
          </cell>
          <cell r="C2826">
            <v>0</v>
          </cell>
          <cell r="D2826">
            <v>23</v>
          </cell>
        </row>
        <row r="2827">
          <cell r="A2827" t="str">
            <v>6400009M</v>
          </cell>
          <cell r="B2827" t="str">
            <v>Abdeckkape für Pro Cart AMD</v>
          </cell>
          <cell r="C2827">
            <v>0</v>
          </cell>
          <cell r="D2827">
            <v>9.75</v>
          </cell>
        </row>
        <row r="2828">
          <cell r="A2828" t="str">
            <v>6400010M</v>
          </cell>
          <cell r="B2828" t="str">
            <v>Monitorhalterung für Pro Cart AMD</v>
          </cell>
          <cell r="C2828">
            <v>0</v>
          </cell>
          <cell r="D2828">
            <v>117.65</v>
          </cell>
        </row>
        <row r="2829">
          <cell r="A2829" t="str">
            <v>6400011M</v>
          </cell>
          <cell r="B2829" t="str">
            <v>Tastatur Ablage für Gerätewagen</v>
          </cell>
          <cell r="C2829">
            <v>0</v>
          </cell>
          <cell r="D2829">
            <v>166</v>
          </cell>
        </row>
        <row r="2830">
          <cell r="A2830" t="str">
            <v>6400012M</v>
          </cell>
          <cell r="B2830" t="str">
            <v>Basisgestell compact-carts Basis "Profi"  AMD</v>
          </cell>
          <cell r="C2830">
            <v>0</v>
          </cell>
          <cell r="D2830">
            <v>539.54999999999995</v>
          </cell>
        </row>
        <row r="2831">
          <cell r="A2831" t="str">
            <v>6400013M</v>
          </cell>
          <cell r="B2831" t="str">
            <v>Gegengewichte-Set auf Basistraverse AMD</v>
          </cell>
          <cell r="C2831">
            <v>0</v>
          </cell>
          <cell r="D2831">
            <v>128.69999999999999</v>
          </cell>
        </row>
        <row r="2832">
          <cell r="A2832" t="str">
            <v>6400014M</v>
          </cell>
          <cell r="B2832" t="str">
            <v>Rücktüre an Energiesäule AMD</v>
          </cell>
          <cell r="C2832">
            <v>0</v>
          </cell>
          <cell r="D2832">
            <v>194.35</v>
          </cell>
        </row>
        <row r="2833">
          <cell r="A2833" t="str">
            <v>6400015M</v>
          </cell>
          <cell r="B2833" t="str">
            <v>Ablageboden AMD</v>
          </cell>
          <cell r="C2833">
            <v>0</v>
          </cell>
          <cell r="D2833">
            <v>72.150000000000006</v>
          </cell>
        </row>
        <row r="2834">
          <cell r="A2834" t="str">
            <v>6400016M</v>
          </cell>
          <cell r="B2834" t="str">
            <v>Monitorhalterung auf Quertraverse, bis 8 kg AMD</v>
          </cell>
          <cell r="C2834">
            <v>0</v>
          </cell>
          <cell r="D2834">
            <v>196.95</v>
          </cell>
        </row>
        <row r="2835">
          <cell r="A2835" t="str">
            <v>6400017M</v>
          </cell>
          <cell r="B2835" t="str">
            <v>Ablageboden mit seitlichen Griffen AMD</v>
          </cell>
          <cell r="C2835">
            <v>0</v>
          </cell>
          <cell r="D2835">
            <v>159</v>
          </cell>
        </row>
        <row r="2836">
          <cell r="A2836" t="str">
            <v>6400018M</v>
          </cell>
          <cell r="B2836" t="str">
            <v>Tastaturauszug, mit Mauspad AMD</v>
          </cell>
          <cell r="C2836">
            <v>0</v>
          </cell>
          <cell r="D2836">
            <v>215.8</v>
          </cell>
        </row>
        <row r="2837">
          <cell r="A2837" t="str">
            <v>6400019M</v>
          </cell>
          <cell r="B2837" t="str">
            <v>Schuko 8-fach, mit EIn und Ausschalter AMD</v>
          </cell>
          <cell r="C2837">
            <v>0</v>
          </cell>
          <cell r="D2837">
            <v>155.35</v>
          </cell>
        </row>
        <row r="2838">
          <cell r="A2838" t="str">
            <v>6400020M</v>
          </cell>
          <cell r="B2838" t="str">
            <v>POAG Stecker, 8-fach AMD</v>
          </cell>
          <cell r="C2838">
            <v>0</v>
          </cell>
          <cell r="D2838">
            <v>40.950000000000003</v>
          </cell>
        </row>
        <row r="2839">
          <cell r="A2839" t="str">
            <v>6400021M</v>
          </cell>
          <cell r="B2839" t="str">
            <v>Isolation Transformer AMD</v>
          </cell>
          <cell r="C2839">
            <v>0</v>
          </cell>
          <cell r="D2839">
            <v>736.45</v>
          </cell>
        </row>
        <row r="2840">
          <cell r="A2840" t="str">
            <v>6400022M</v>
          </cell>
          <cell r="B2840" t="str">
            <v>Cable Spool AMD</v>
          </cell>
          <cell r="C2840">
            <v>0</v>
          </cell>
          <cell r="D2840">
            <v>14.3</v>
          </cell>
        </row>
        <row r="2841">
          <cell r="A2841" t="str">
            <v>6400023M</v>
          </cell>
          <cell r="B2841" t="str">
            <v>Lock Incl. Keys AMD</v>
          </cell>
          <cell r="C2841">
            <v>0</v>
          </cell>
          <cell r="D2841">
            <v>10</v>
          </cell>
        </row>
        <row r="2842">
          <cell r="A2842" t="str">
            <v>6400024M</v>
          </cell>
          <cell r="B2842" t="str">
            <v>Kaltgerätekabel 15A, L 1m</v>
          </cell>
          <cell r="C2842">
            <v>0</v>
          </cell>
          <cell r="D2842">
            <v>6.83</v>
          </cell>
        </row>
        <row r="2843">
          <cell r="A2843" t="str">
            <v>6400025M</v>
          </cell>
          <cell r="B2843" t="str">
            <v>Gerätewagen Pro-Cart</v>
          </cell>
          <cell r="C2843">
            <v>0</v>
          </cell>
          <cell r="D2843">
            <v>902.2</v>
          </cell>
        </row>
        <row r="2844">
          <cell r="A2844" t="str">
            <v>6400026M</v>
          </cell>
          <cell r="B2844" t="str">
            <v>Alu-Leisten - Satz Manus</v>
          </cell>
          <cell r="C2844">
            <v>0</v>
          </cell>
          <cell r="D2844">
            <v>44.1</v>
          </cell>
        </row>
        <row r="2845">
          <cell r="A2845" t="str">
            <v>6400027M</v>
          </cell>
          <cell r="B2845" t="str">
            <v>Ground Strape MANUS / PIB-Alu Blech AIMg3</v>
          </cell>
          <cell r="C2845">
            <v>0</v>
          </cell>
          <cell r="D2845">
            <v>6.95</v>
          </cell>
        </row>
        <row r="2846">
          <cell r="A2846" t="str">
            <v>6400028M</v>
          </cell>
          <cell r="B2846" t="str">
            <v>Prototyp AESCU.certus II</v>
          </cell>
          <cell r="C2846">
            <v>0</v>
          </cell>
          <cell r="D2846">
            <v>1720</v>
          </cell>
        </row>
        <row r="2847">
          <cell r="A2847" t="str">
            <v>6400029M</v>
          </cell>
          <cell r="B2847" t="str">
            <v>Prototyp Tha.Leia 21,5"</v>
          </cell>
          <cell r="C2847">
            <v>0</v>
          </cell>
          <cell r="D2847">
            <v>2350</v>
          </cell>
        </row>
        <row r="2848">
          <cell r="A2848" t="str">
            <v>6400030M</v>
          </cell>
          <cell r="B2848" t="str">
            <v>Pro-Cart Gerätewage-30E</v>
          </cell>
          <cell r="C2848">
            <v>0</v>
          </cell>
          <cell r="D2848">
            <v>913</v>
          </cell>
        </row>
        <row r="2849">
          <cell r="A2849" t="str">
            <v>6400031M</v>
          </cell>
          <cell r="B2849" t="str">
            <v>MCD Gerätewagen - Akku - Höhenverstellbar</v>
          </cell>
          <cell r="C2849">
            <v>0</v>
          </cell>
          <cell r="D2849">
            <v>3137.6</v>
          </cell>
        </row>
        <row r="2850">
          <cell r="A2850" t="str">
            <v>6400032M</v>
          </cell>
          <cell r="B2850" t="str">
            <v>MCD Gerätewagen - Akku - ohne Höhenverstellung</v>
          </cell>
          <cell r="C2850">
            <v>0</v>
          </cell>
          <cell r="D2850">
            <v>2827.55</v>
          </cell>
        </row>
        <row r="2851">
          <cell r="A2851" t="str">
            <v>6400033M</v>
          </cell>
          <cell r="B2851" t="str">
            <v>MCD Gerätewagen - ohne Akku - nicht höhenverst.</v>
          </cell>
          <cell r="C2851">
            <v>0</v>
          </cell>
          <cell r="D2851">
            <v>908.1</v>
          </cell>
        </row>
        <row r="2852">
          <cell r="A2852" t="str">
            <v>6400034M</v>
          </cell>
          <cell r="B2852" t="str">
            <v>AMD Gerätewagen 35E mech. Höhenverstellung</v>
          </cell>
          <cell r="C2852">
            <v>0</v>
          </cell>
          <cell r="D2852">
            <v>1131</v>
          </cell>
        </row>
        <row r="2853">
          <cell r="A2853" t="str">
            <v>6400035M</v>
          </cell>
          <cell r="B2853" t="str">
            <v>Rolle Steinco D100 feststellbar</v>
          </cell>
          <cell r="C2853">
            <v>0</v>
          </cell>
          <cell r="D2853">
            <v>16.25</v>
          </cell>
        </row>
        <row r="2854">
          <cell r="A2854" t="str">
            <v>6400036M</v>
          </cell>
          <cell r="B2854" t="str">
            <v>Keyboard holder, pull-out, On ITD support extrusio</v>
          </cell>
          <cell r="C2854">
            <v>0</v>
          </cell>
          <cell r="D2854">
            <v>133.5</v>
          </cell>
        </row>
        <row r="2855">
          <cell r="A2855" t="str">
            <v>6400037M</v>
          </cell>
          <cell r="B2855" t="str">
            <v>Pro-Cart AMD" Gerätewagen - 30E mit Höhenverstellu</v>
          </cell>
          <cell r="C2855">
            <v>0</v>
          </cell>
          <cell r="D2855">
            <v>0</v>
          </cell>
        </row>
        <row r="2856">
          <cell r="A2856" t="str">
            <v>6400038M</v>
          </cell>
          <cell r="B2856" t="str">
            <v>Cart AMD Vexio Gerätewagen - 12E</v>
          </cell>
          <cell r="C2856">
            <v>0</v>
          </cell>
          <cell r="D2856">
            <v>873.6</v>
          </cell>
        </row>
        <row r="2857">
          <cell r="A2857" t="str">
            <v>6400039M</v>
          </cell>
          <cell r="B2857" t="str">
            <v>Cart BK AMD BOM3</v>
          </cell>
          <cell r="C2857">
            <v>11</v>
          </cell>
          <cell r="D2857">
            <v>0</v>
          </cell>
        </row>
        <row r="2858">
          <cell r="A2858" t="str">
            <v>6400040M</v>
          </cell>
          <cell r="B2858" t="str">
            <v>Gerätewagen Pro-Cart</v>
          </cell>
          <cell r="C2858">
            <v>0</v>
          </cell>
          <cell r="D2858">
            <v>2737</v>
          </cell>
        </row>
        <row r="2859">
          <cell r="A2859" t="str">
            <v>6500001M</v>
          </cell>
          <cell r="B2859" t="str">
            <v>Inst. Manual KSI IM-AIDA HDC CNCT-03BA</v>
          </cell>
          <cell r="C2859">
            <v>0</v>
          </cell>
          <cell r="D2859">
            <v>6.02</v>
          </cell>
        </row>
        <row r="2860">
          <cell r="A2860" t="str">
            <v>6500002M</v>
          </cell>
          <cell r="B2860" t="str">
            <v>Admin Manual KSI IM-AIDA HDC ADM-03BA</v>
          </cell>
          <cell r="C2860">
            <v>0</v>
          </cell>
          <cell r="D2860">
            <v>3.1</v>
          </cell>
        </row>
        <row r="2861">
          <cell r="A2861" t="str">
            <v>6500003M</v>
          </cell>
          <cell r="B2861" t="str">
            <v>Inst. Manual KSI IM-AIDA HD CNCT-04</v>
          </cell>
          <cell r="C2861">
            <v>0</v>
          </cell>
          <cell r="D2861">
            <v>5.62</v>
          </cell>
        </row>
        <row r="2862">
          <cell r="A2862" t="str">
            <v>6500004M</v>
          </cell>
          <cell r="B2862" t="str">
            <v>Admin Manual KSI IM-AIDA HDC ADM-04</v>
          </cell>
          <cell r="C2862">
            <v>62</v>
          </cell>
          <cell r="D2862">
            <v>3.1</v>
          </cell>
        </row>
        <row r="2863">
          <cell r="A2863" t="str">
            <v>6500005M</v>
          </cell>
          <cell r="B2863" t="str">
            <v>Inst. Manual KSI IM-AHDC DL-02</v>
          </cell>
          <cell r="C2863">
            <v>0</v>
          </cell>
          <cell r="D2863">
            <v>6.4</v>
          </cell>
        </row>
        <row r="2864">
          <cell r="A2864" t="str">
            <v>6500006M</v>
          </cell>
          <cell r="B2864" t="str">
            <v>Admin Manual KSI IM-AHDC DLADM-02</v>
          </cell>
          <cell r="C2864">
            <v>0</v>
          </cell>
          <cell r="D2864">
            <v>5.14</v>
          </cell>
        </row>
        <row r="2865">
          <cell r="A2865" t="str">
            <v>6500007M</v>
          </cell>
          <cell r="B2865" t="str">
            <v>Speicher USB Stick 8GB "KARL STORZ" Logo gedreht</v>
          </cell>
          <cell r="C2865">
            <v>1578</v>
          </cell>
          <cell r="D2865">
            <v>5.7</v>
          </cell>
        </row>
        <row r="2866">
          <cell r="A2866" t="str">
            <v>6500008M</v>
          </cell>
          <cell r="B2866" t="str">
            <v>Instruction Manual KSI IM-AHDC DCP-00</v>
          </cell>
          <cell r="C2866">
            <v>0</v>
          </cell>
          <cell r="D2866">
            <v>0</v>
          </cell>
        </row>
        <row r="2867">
          <cell r="A2867" t="str">
            <v>6500009M</v>
          </cell>
          <cell r="B2867" t="str">
            <v>Admin Manual KSI IM-AHDC DCP-ADM-00</v>
          </cell>
          <cell r="C2867">
            <v>0</v>
          </cell>
          <cell r="D2867">
            <v>0</v>
          </cell>
        </row>
        <row r="2868">
          <cell r="A2868" t="str">
            <v>6500010M</v>
          </cell>
          <cell r="B2868" t="str">
            <v>User Manual AMD BOM 3</v>
          </cell>
          <cell r="C2868">
            <v>0</v>
          </cell>
          <cell r="D2868">
            <v>0</v>
          </cell>
        </row>
        <row r="2869">
          <cell r="A2869" t="str">
            <v>6500011M</v>
          </cell>
          <cell r="B2869" t="str">
            <v>Quick Installation Guide AMD BOM3</v>
          </cell>
          <cell r="C2869">
            <v>0</v>
          </cell>
          <cell r="D2869">
            <v>0</v>
          </cell>
        </row>
        <row r="2870">
          <cell r="A2870" t="str">
            <v>6500012M</v>
          </cell>
          <cell r="B2870" t="str">
            <v>Inst. Card EULA IC-60-008-00BA</v>
          </cell>
          <cell r="C2870">
            <v>0</v>
          </cell>
          <cell r="D2870">
            <v>0.3</v>
          </cell>
        </row>
        <row r="2871">
          <cell r="A2871" t="str">
            <v>6500013M</v>
          </cell>
          <cell r="B2871" t="str">
            <v>Benutzerhandbuch AESCU.certus²</v>
          </cell>
          <cell r="C2871">
            <v>0</v>
          </cell>
          <cell r="D2871">
            <v>0</v>
          </cell>
        </row>
        <row r="2872">
          <cell r="A2872" t="str">
            <v>6500014M</v>
          </cell>
          <cell r="B2872" t="str">
            <v>Full user guide HistoScanning G2 English</v>
          </cell>
          <cell r="C2872">
            <v>0</v>
          </cell>
          <cell r="D2872">
            <v>0</v>
          </cell>
        </row>
        <row r="2873">
          <cell r="A2873" t="str">
            <v>6500015M</v>
          </cell>
          <cell r="B2873" t="str">
            <v>Quick user guide HistoScanning G2 Dutch</v>
          </cell>
          <cell r="C2873">
            <v>0</v>
          </cell>
          <cell r="D2873">
            <v>0</v>
          </cell>
        </row>
        <row r="2874">
          <cell r="A2874" t="str">
            <v>6500016M</v>
          </cell>
          <cell r="B2874" t="str">
            <v>Quick user guide HistoScanning G2 French</v>
          </cell>
          <cell r="C2874">
            <v>0</v>
          </cell>
          <cell r="D2874">
            <v>0</v>
          </cell>
        </row>
        <row r="2875">
          <cell r="A2875" t="str">
            <v>6500017M</v>
          </cell>
          <cell r="B2875" t="str">
            <v>Quick user guide HistoScanning G2 Italian</v>
          </cell>
          <cell r="C2875">
            <v>0</v>
          </cell>
          <cell r="D2875">
            <v>0</v>
          </cell>
        </row>
        <row r="2876">
          <cell r="A2876" t="str">
            <v>6500018M</v>
          </cell>
          <cell r="B2876" t="str">
            <v>Quick user guide HistoScanning G2 English</v>
          </cell>
          <cell r="C2876">
            <v>0</v>
          </cell>
          <cell r="D2876">
            <v>0</v>
          </cell>
        </row>
        <row r="2877">
          <cell r="A2877" t="str">
            <v>6500019M</v>
          </cell>
          <cell r="B2877" t="str">
            <v>Quick user guide HistoScanning G2 German</v>
          </cell>
          <cell r="C2877">
            <v>0</v>
          </cell>
          <cell r="D2877">
            <v>0</v>
          </cell>
        </row>
        <row r="2878">
          <cell r="A2878" t="str">
            <v>6500020M</v>
          </cell>
          <cell r="B2878" t="str">
            <v>Quick user guide HistoScanning G2 Spanish</v>
          </cell>
          <cell r="C2878">
            <v>0</v>
          </cell>
          <cell r="D2878">
            <v>0</v>
          </cell>
        </row>
        <row r="2879">
          <cell r="A2879" t="str">
            <v>6500021M</v>
          </cell>
          <cell r="B2879" t="str">
            <v>Schnellstart Anleitung OMNI.view 21,5"</v>
          </cell>
          <cell r="C2879">
            <v>0</v>
          </cell>
          <cell r="D2879">
            <v>0</v>
          </cell>
        </row>
        <row r="2880">
          <cell r="A2880" t="str">
            <v>6500022M</v>
          </cell>
          <cell r="B2880" t="str">
            <v>Quick start guide OMNI.view 21,5"</v>
          </cell>
          <cell r="C2880">
            <v>0</v>
          </cell>
          <cell r="D2880">
            <v>0</v>
          </cell>
        </row>
        <row r="2881">
          <cell r="A2881" t="str">
            <v>6500023M</v>
          </cell>
          <cell r="B2881" t="str">
            <v>Speicher USB Stick 4GB "KARL STORZ"</v>
          </cell>
          <cell r="C2881">
            <v>0</v>
          </cell>
          <cell r="D2881">
            <v>6.1</v>
          </cell>
        </row>
        <row r="2882">
          <cell r="A2882" t="str">
            <v>6500024M</v>
          </cell>
          <cell r="B2882" t="str">
            <v>Field Upgrade Kit KSI K70111-1100</v>
          </cell>
          <cell r="C2882">
            <v>0</v>
          </cell>
          <cell r="D2882">
            <v>19.079999999999998</v>
          </cell>
        </row>
        <row r="2883">
          <cell r="A2883" t="str">
            <v>6500025M</v>
          </cell>
          <cell r="B2883" t="str">
            <v>Inst. Manual KSI IM-AHDC DCP-00BI</v>
          </cell>
          <cell r="C2883">
            <v>0</v>
          </cell>
          <cell r="D2883">
            <v>7.23</v>
          </cell>
        </row>
        <row r="2884">
          <cell r="A2884" t="str">
            <v>6500026M</v>
          </cell>
          <cell r="B2884" t="str">
            <v>Admin Manual KSI IM-AHDC DCP ADM-00BH</v>
          </cell>
          <cell r="C2884">
            <v>0</v>
          </cell>
          <cell r="D2884">
            <v>5.77</v>
          </cell>
        </row>
        <row r="2885">
          <cell r="A2885" t="str">
            <v>6500027M</v>
          </cell>
          <cell r="B2885" t="str">
            <v>Inst. Manual KSI IM-AIDA HD CNCT-04 Rev. BC</v>
          </cell>
          <cell r="C2885">
            <v>44</v>
          </cell>
          <cell r="D2885">
            <v>6.02</v>
          </cell>
        </row>
        <row r="2886">
          <cell r="A2886" t="str">
            <v>6500028M</v>
          </cell>
          <cell r="B2886" t="str">
            <v>Field Upgrade Kit KSI K70111-1200</v>
          </cell>
          <cell r="C2886">
            <v>0</v>
          </cell>
          <cell r="D2886">
            <v>0</v>
          </cell>
        </row>
        <row r="2887">
          <cell r="A2887">
            <v>6506099</v>
          </cell>
          <cell r="B2887" t="str">
            <v>T MS Windows Vista Business COA 32/64Bit OEM Int.</v>
          </cell>
          <cell r="C2887">
            <v>0</v>
          </cell>
          <cell r="D2887">
            <v>89</v>
          </cell>
        </row>
        <row r="2888">
          <cell r="A2888">
            <v>6506125</v>
          </cell>
          <cell r="B2888" t="str">
            <v>Windows 7 Prof. MCD COA 32/64bit</v>
          </cell>
          <cell r="C2888">
            <v>27</v>
          </cell>
          <cell r="D2888">
            <v>96</v>
          </cell>
        </row>
        <row r="2889">
          <cell r="A2889">
            <v>6506222</v>
          </cell>
          <cell r="B2889" t="str">
            <v>Windows 7 Prof. MCD MUI-DVD 32/64Bit</v>
          </cell>
          <cell r="C2889">
            <v>454</v>
          </cell>
          <cell r="D2889">
            <v>1</v>
          </cell>
        </row>
        <row r="2890">
          <cell r="A2890">
            <v>6507504</v>
          </cell>
          <cell r="B2890" t="str">
            <v>T MS Office 2010 Home and Business [DE] OEM DVD</v>
          </cell>
          <cell r="C2890">
            <v>0</v>
          </cell>
          <cell r="D2890">
            <v>150</v>
          </cell>
        </row>
        <row r="2891">
          <cell r="A2891">
            <v>6507710</v>
          </cell>
          <cell r="B2891" t="str">
            <v>T MS Office  Starter 2010 [DE] OEM</v>
          </cell>
          <cell r="C2891">
            <v>0</v>
          </cell>
          <cell r="D2891">
            <v>0</v>
          </cell>
        </row>
        <row r="2892">
          <cell r="A2892">
            <v>6509441</v>
          </cell>
          <cell r="B2892" t="str">
            <v xml:space="preserve"> MS Office 2003 Small Busi. Ed. DEU preinstalliert</v>
          </cell>
          <cell r="C2892">
            <v>0</v>
          </cell>
          <cell r="D2892">
            <v>179</v>
          </cell>
        </row>
        <row r="2893">
          <cell r="A2893">
            <v>6509446</v>
          </cell>
          <cell r="B2893" t="str">
            <v>T MS Office 2003 Basic Edition ESP OEM</v>
          </cell>
          <cell r="C2893">
            <v>0</v>
          </cell>
          <cell r="D2893">
            <v>135</v>
          </cell>
        </row>
        <row r="2894">
          <cell r="A2894">
            <v>6509550</v>
          </cell>
          <cell r="B2894" t="str">
            <v>MS Windows XP Pro Lizenz/COA OEM Int.</v>
          </cell>
          <cell r="C2894">
            <v>0</v>
          </cell>
          <cell r="D2894">
            <v>94</v>
          </cell>
        </row>
        <row r="2895">
          <cell r="A2895">
            <v>6509572</v>
          </cell>
          <cell r="B2895" t="str">
            <v>T MS WIN Server 2003 R2 Std. Lizenz/COA OEM</v>
          </cell>
          <cell r="C2895">
            <v>0</v>
          </cell>
          <cell r="D2895">
            <v>465</v>
          </cell>
        </row>
        <row r="2896">
          <cell r="A2896">
            <v>6509577</v>
          </cell>
          <cell r="B2896" t="str">
            <v>MS Windows SBS 2003  R2 Pre. Ed. Lizenz/COA OEM</v>
          </cell>
          <cell r="C2896">
            <v>0</v>
          </cell>
          <cell r="D2896">
            <v>580</v>
          </cell>
        </row>
        <row r="2897">
          <cell r="A2897">
            <v>6509578</v>
          </cell>
          <cell r="B2897" t="str">
            <v>MS Windows SBS 2003  R2 Std. Ed. Lizenz/COA OEM</v>
          </cell>
          <cell r="C2897">
            <v>0</v>
          </cell>
          <cell r="D2897">
            <v>285</v>
          </cell>
        </row>
        <row r="2898">
          <cell r="A2898">
            <v>6509601</v>
          </cell>
          <cell r="B2898" t="str">
            <v>MS Hb. Windows XP Pro. OEM / Rec. CD DEU.MCD</v>
          </cell>
          <cell r="C2898">
            <v>0</v>
          </cell>
          <cell r="D2898">
            <v>1</v>
          </cell>
        </row>
        <row r="2899">
          <cell r="A2899">
            <v>6509602</v>
          </cell>
          <cell r="B2899" t="str">
            <v>MS Windows XP Pro Englisch (vorinst.) Manual/Rec.C</v>
          </cell>
          <cell r="C2899">
            <v>0</v>
          </cell>
          <cell r="D2899">
            <v>1</v>
          </cell>
        </row>
        <row r="2900">
          <cell r="A2900">
            <v>6509604</v>
          </cell>
          <cell r="B2900" t="str">
            <v>MS Windows XP Pro Spanisch (vorinst.) Manual/Rec.</v>
          </cell>
          <cell r="C2900">
            <v>0</v>
          </cell>
          <cell r="D2900">
            <v>1</v>
          </cell>
        </row>
        <row r="2901">
          <cell r="A2901">
            <v>6509606</v>
          </cell>
          <cell r="B2901" t="str">
            <v>MS Windows XP Pro Französisch (vorinst.) Manual/Re</v>
          </cell>
          <cell r="C2901">
            <v>0</v>
          </cell>
          <cell r="D2901">
            <v>91</v>
          </cell>
        </row>
        <row r="2902">
          <cell r="A2902">
            <v>6509607</v>
          </cell>
          <cell r="B2902" t="str">
            <v>T MS Hb. Windows XP Pro. OEM / Rec. DVD [MUI]</v>
          </cell>
          <cell r="C2902">
            <v>0</v>
          </cell>
          <cell r="D2902">
            <v>1</v>
          </cell>
        </row>
        <row r="2903">
          <cell r="A2903">
            <v>6509609</v>
          </cell>
          <cell r="B2903" t="str">
            <v xml:space="preserve"> MS Hb. Windows XP Pro. OEM / Rec. CD DUT</v>
          </cell>
          <cell r="C2903">
            <v>0</v>
          </cell>
          <cell r="D2903">
            <v>1</v>
          </cell>
        </row>
        <row r="2904">
          <cell r="A2904">
            <v>6509726</v>
          </cell>
          <cell r="B2904" t="str">
            <v>T MS Windows SBS 5 zusät. DEVICE CALs DE OEM</v>
          </cell>
          <cell r="C2904">
            <v>0</v>
          </cell>
          <cell r="D2904">
            <v>295</v>
          </cell>
        </row>
        <row r="2905">
          <cell r="A2905">
            <v>6509727</v>
          </cell>
          <cell r="B2905" t="str">
            <v>T MS Windows SBS 5 zusät. USER CALs DE OEM</v>
          </cell>
          <cell r="C2905">
            <v>0</v>
          </cell>
          <cell r="D2905">
            <v>295</v>
          </cell>
        </row>
        <row r="2906">
          <cell r="A2906">
            <v>6509850</v>
          </cell>
          <cell r="B2906" t="str">
            <v>T MS WIN Server 2003 - 5 zusät. USER CALs DE OEM</v>
          </cell>
          <cell r="C2906">
            <v>0</v>
          </cell>
          <cell r="D2906">
            <v>85</v>
          </cell>
        </row>
        <row r="2907">
          <cell r="A2907">
            <v>6509860</v>
          </cell>
          <cell r="B2907" t="str">
            <v>T MS WIN Server 2003 - 5 zusät. DEV. CAL DE OEM</v>
          </cell>
          <cell r="C2907">
            <v>0</v>
          </cell>
          <cell r="D2907">
            <v>85</v>
          </cell>
        </row>
        <row r="2908">
          <cell r="A2908">
            <v>6509871</v>
          </cell>
          <cell r="B2908" t="str">
            <v>T MS WIN Server 2003 - 5 zusät. TER. D-CALs EN OEM</v>
          </cell>
          <cell r="C2908">
            <v>0</v>
          </cell>
          <cell r="D2908">
            <v>330</v>
          </cell>
        </row>
        <row r="2909">
          <cell r="A2909">
            <v>6509876</v>
          </cell>
          <cell r="B2909" t="str">
            <v>T MS WIN Server 2003 - 5 zusät. TER. U-CALs EN OEM</v>
          </cell>
          <cell r="C2909">
            <v>0</v>
          </cell>
          <cell r="D2909">
            <v>330</v>
          </cell>
        </row>
        <row r="2910">
          <cell r="A2910">
            <v>6509950</v>
          </cell>
          <cell r="B2910" t="str">
            <v>T MS Windows Live Essentials [DE]</v>
          </cell>
          <cell r="C2910">
            <v>0</v>
          </cell>
          <cell r="D2910">
            <v>0</v>
          </cell>
        </row>
        <row r="2911">
          <cell r="A2911">
            <v>6531746</v>
          </cell>
          <cell r="B2911" t="str">
            <v>MS SB Office 2010 Home &amp; Business  DT. PKC</v>
          </cell>
          <cell r="C2911">
            <v>0</v>
          </cell>
          <cell r="D2911">
            <v>152.9</v>
          </cell>
        </row>
        <row r="2912">
          <cell r="A2912">
            <v>6531757</v>
          </cell>
          <cell r="B2912" t="str">
            <v>MS Office 2010 Home &amp; Business 32-bit/x64 [DT] DVD</v>
          </cell>
          <cell r="C2912">
            <v>0</v>
          </cell>
          <cell r="D2912">
            <v>229.9</v>
          </cell>
        </row>
        <row r="2913">
          <cell r="A2913">
            <v>6539240</v>
          </cell>
          <cell r="B2913" t="str">
            <v>MS SB Win. XP Pro. DT. CD  SP2  1Pack</v>
          </cell>
          <cell r="C2913">
            <v>0</v>
          </cell>
          <cell r="D2913">
            <v>105</v>
          </cell>
        </row>
        <row r="2914">
          <cell r="A2914">
            <v>6539241</v>
          </cell>
          <cell r="B2914" t="str">
            <v>MS SB Win. XP Home DT. CD  SP2  1Pack***</v>
          </cell>
          <cell r="C2914">
            <v>0</v>
          </cell>
          <cell r="D2914">
            <v>67</v>
          </cell>
        </row>
        <row r="2915">
          <cell r="A2915">
            <v>6539245</v>
          </cell>
          <cell r="B2915" t="str">
            <v>MS SB Win. XP Pro. ML/engl. CD SP2  1Pack</v>
          </cell>
          <cell r="C2915">
            <v>0</v>
          </cell>
          <cell r="D2915">
            <v>115</v>
          </cell>
        </row>
        <row r="2916">
          <cell r="A2916">
            <v>6539246</v>
          </cell>
          <cell r="B2916" t="str">
            <v>MS SB Win. XP Pro. DT. CD  SP2b  1Pack</v>
          </cell>
          <cell r="C2916">
            <v>0</v>
          </cell>
          <cell r="D2916">
            <v>103</v>
          </cell>
        </row>
        <row r="2917">
          <cell r="A2917">
            <v>6539254</v>
          </cell>
          <cell r="B2917" t="str">
            <v>MS SB Win. XP Pro DT. CD  SP2c  1Pack</v>
          </cell>
          <cell r="C2917">
            <v>0</v>
          </cell>
          <cell r="D2917">
            <v>87</v>
          </cell>
        </row>
        <row r="2918">
          <cell r="A2918">
            <v>6539255</v>
          </cell>
          <cell r="B2918" t="str">
            <v>MS SB Win. XP Pro ENG. CD  SP2c  1Pack</v>
          </cell>
          <cell r="C2918">
            <v>0</v>
          </cell>
          <cell r="D2918">
            <v>89</v>
          </cell>
        </row>
        <row r="2919">
          <cell r="A2919">
            <v>6539258</v>
          </cell>
          <cell r="B2919" t="str">
            <v>MS SB Win. XP Pro ENG. CD  SP3  1Pack</v>
          </cell>
          <cell r="C2919">
            <v>0</v>
          </cell>
          <cell r="D2919">
            <v>94</v>
          </cell>
        </row>
        <row r="2920">
          <cell r="A2920">
            <v>6539259</v>
          </cell>
          <cell r="B2920" t="str">
            <v>MS SB Win. XP Home DT. CD  SP2b  1Pack</v>
          </cell>
          <cell r="C2920">
            <v>0</v>
          </cell>
          <cell r="D2920">
            <v>63</v>
          </cell>
        </row>
        <row r="2921">
          <cell r="A2921">
            <v>6539260</v>
          </cell>
          <cell r="B2921" t="str">
            <v>MS SB Win. XP Pro. ML/engl. CD SP2b  1/3Pack</v>
          </cell>
          <cell r="C2921">
            <v>0</v>
          </cell>
          <cell r="D2921">
            <v>106</v>
          </cell>
        </row>
        <row r="2922">
          <cell r="A2922">
            <v>6539262</v>
          </cell>
          <cell r="B2922" t="str">
            <v>MS SB Win. 2003   5 zusätzl. Dev. CAL DT.</v>
          </cell>
          <cell r="C2922">
            <v>0</v>
          </cell>
          <cell r="D2922">
            <v>89</v>
          </cell>
        </row>
        <row r="2923">
          <cell r="A2923">
            <v>6539263</v>
          </cell>
          <cell r="B2923" t="str">
            <v>MS SB Win. 2003   5 zusätzl. User CAL DT.</v>
          </cell>
          <cell r="C2923">
            <v>0</v>
          </cell>
          <cell r="D2923">
            <v>89</v>
          </cell>
        </row>
        <row r="2924">
          <cell r="A2924">
            <v>6539277</v>
          </cell>
          <cell r="B2924" t="str">
            <v>MS SB Win. 2003 Server + 5CAL DT.   1Pack</v>
          </cell>
          <cell r="C2924">
            <v>0</v>
          </cell>
          <cell r="D2924">
            <v>715</v>
          </cell>
        </row>
        <row r="2925">
          <cell r="A2925">
            <v>6539290</v>
          </cell>
          <cell r="B2925" t="str">
            <v>MS SB Win. 2003 Server R2 + 5CAL DT. 1Pack</v>
          </cell>
          <cell r="C2925">
            <v>0</v>
          </cell>
          <cell r="D2925">
            <v>745</v>
          </cell>
        </row>
        <row r="2926">
          <cell r="A2926">
            <v>6539294</v>
          </cell>
          <cell r="B2926" t="str">
            <v>MS SB Office 2003 Basic DT. CD  SP2  1Pack     OSB</v>
          </cell>
          <cell r="C2926">
            <v>0</v>
          </cell>
          <cell r="D2926">
            <v>145</v>
          </cell>
        </row>
        <row r="2927">
          <cell r="A2927">
            <v>6539300</v>
          </cell>
          <cell r="B2927" t="str">
            <v>MS SB Win. 2003 Server R2 + 5CAL DT. SP1       OSB</v>
          </cell>
          <cell r="C2927">
            <v>0</v>
          </cell>
          <cell r="D2927">
            <v>475</v>
          </cell>
        </row>
        <row r="2928">
          <cell r="A2928">
            <v>6539307</v>
          </cell>
          <cell r="B2928" t="str">
            <v>MS SB Win. XP Pro. DT. CD  SP2b  1Pack VISTA</v>
          </cell>
          <cell r="C2928">
            <v>0</v>
          </cell>
          <cell r="D2928">
            <v>109</v>
          </cell>
        </row>
        <row r="2929">
          <cell r="A2929">
            <v>6539308</v>
          </cell>
          <cell r="B2929" t="str">
            <v>MS SB Win. XP Pro. ENG. CD  SP2b  1Pack VISTA**</v>
          </cell>
          <cell r="C2929">
            <v>0</v>
          </cell>
          <cell r="D2929">
            <v>105</v>
          </cell>
        </row>
        <row r="2930">
          <cell r="A2930">
            <v>6539309</v>
          </cell>
          <cell r="B2930" t="str">
            <v>MS SB Win. XP Pro. ML/engl. CD SP2b  1Pack VISTA</v>
          </cell>
          <cell r="C2930">
            <v>0</v>
          </cell>
          <cell r="D2930">
            <v>111</v>
          </cell>
        </row>
        <row r="2931">
          <cell r="A2931">
            <v>6539312</v>
          </cell>
          <cell r="B2931" t="str">
            <v>MS SB Win. XP Home DT. CD  SP2b  1Pack VISTA</v>
          </cell>
          <cell r="C2931">
            <v>0</v>
          </cell>
          <cell r="D2931">
            <v>67</v>
          </cell>
        </row>
        <row r="2932">
          <cell r="A2932">
            <v>6539314</v>
          </cell>
          <cell r="B2932" t="str">
            <v>MS SB Win. XP Home DT. CD  SP2b  1Pack VISTA***</v>
          </cell>
          <cell r="C2932">
            <v>0</v>
          </cell>
          <cell r="D2932">
            <v>69</v>
          </cell>
        </row>
        <row r="2933">
          <cell r="A2933">
            <v>6539315</v>
          </cell>
          <cell r="B2933" t="str">
            <v>MS SB Win. XP Pro. DT. CD  SP3  1Pack</v>
          </cell>
          <cell r="C2933">
            <v>0</v>
          </cell>
          <cell r="D2933">
            <v>91</v>
          </cell>
        </row>
        <row r="2934">
          <cell r="A2934">
            <v>6539336</v>
          </cell>
          <cell r="B2934" t="str">
            <v>MS SB Win. VISTA Home Prem. 64bit DT.DVD</v>
          </cell>
          <cell r="C2934">
            <v>0</v>
          </cell>
          <cell r="D2934">
            <v>86.5</v>
          </cell>
        </row>
        <row r="2935">
          <cell r="A2935">
            <v>6539337</v>
          </cell>
          <cell r="B2935" t="str">
            <v>MS SB Win. VISTA Business 32bit DT.DVD</v>
          </cell>
          <cell r="C2935">
            <v>0</v>
          </cell>
          <cell r="D2935">
            <v>89</v>
          </cell>
        </row>
        <row r="2936">
          <cell r="A2936">
            <v>6539370</v>
          </cell>
          <cell r="B2936" t="str">
            <v>MS SB Win. XP Pro ENG./MUI CD SP2c  1Pack</v>
          </cell>
          <cell r="C2936">
            <v>0</v>
          </cell>
          <cell r="D2936">
            <v>89</v>
          </cell>
        </row>
        <row r="2937">
          <cell r="A2937">
            <v>6539372</v>
          </cell>
          <cell r="B2937" t="str">
            <v>MS SB Win. XP Home DT. CD  SP2b  1Pack</v>
          </cell>
          <cell r="C2937">
            <v>0</v>
          </cell>
          <cell r="D2937">
            <v>57</v>
          </cell>
        </row>
        <row r="2938">
          <cell r="A2938">
            <v>6539373</v>
          </cell>
          <cell r="B2938" t="str">
            <v>MS SB Win. XP Pro x64 ENG/DT/JP MUI SP2c CD  1Pack</v>
          </cell>
          <cell r="C2938">
            <v>0</v>
          </cell>
          <cell r="D2938">
            <v>94.9</v>
          </cell>
        </row>
        <row r="2939">
          <cell r="A2939">
            <v>6539376</v>
          </cell>
          <cell r="B2939" t="str">
            <v>MS SB Office 2007 SBE DT. (V2 MLK)</v>
          </cell>
          <cell r="C2939">
            <v>0</v>
          </cell>
          <cell r="D2939">
            <v>159</v>
          </cell>
        </row>
        <row r="2940">
          <cell r="A2940">
            <v>6539377</v>
          </cell>
          <cell r="B2940" t="str">
            <v>MS SB Win. XP Pro FRA. CD  SP2c  1Pack</v>
          </cell>
          <cell r="C2940">
            <v>0</v>
          </cell>
          <cell r="D2940">
            <v>96</v>
          </cell>
        </row>
        <row r="2941">
          <cell r="A2941">
            <v>6539427</v>
          </cell>
          <cell r="B2941" t="str">
            <v>MS SB Win. 2008   5 zusätzl. Dev. CAL DT.</v>
          </cell>
          <cell r="C2941">
            <v>0</v>
          </cell>
          <cell r="D2941">
            <v>85</v>
          </cell>
        </row>
        <row r="2942">
          <cell r="A2942">
            <v>6539428</v>
          </cell>
          <cell r="B2942" t="str">
            <v>MS SB Win. 2008   5 zusätzl. User CAL DT.</v>
          </cell>
          <cell r="C2942">
            <v>0</v>
          </cell>
          <cell r="D2942">
            <v>103.9</v>
          </cell>
        </row>
        <row r="2943">
          <cell r="A2943">
            <v>6539452</v>
          </cell>
          <cell r="B2943" t="str">
            <v>MS SB Win. VISTA Business 32bit SP1 [DT] DVD</v>
          </cell>
          <cell r="C2943">
            <v>0</v>
          </cell>
          <cell r="D2943">
            <v>102</v>
          </cell>
        </row>
        <row r="2944">
          <cell r="A2944">
            <v>6539512</v>
          </cell>
          <cell r="B2944" t="str">
            <v>MS SB Win. XP Pro ENG./MUI CD SP3  1Pack</v>
          </cell>
          <cell r="C2944">
            <v>0</v>
          </cell>
          <cell r="D2944">
            <v>110.8</v>
          </cell>
        </row>
        <row r="2945">
          <cell r="A2945">
            <v>6539516</v>
          </cell>
          <cell r="B2945" t="str">
            <v>MS SB Win. XP Pro DT. CD  SP3  1Pack</v>
          </cell>
          <cell r="C2945">
            <v>0</v>
          </cell>
          <cell r="D2945">
            <v>103.46</v>
          </cell>
        </row>
        <row r="2946">
          <cell r="A2946">
            <v>6539520</v>
          </cell>
          <cell r="B2946" t="str">
            <v>MS SB Win. XP Pro FR. CD  SP3  1Pack</v>
          </cell>
          <cell r="C2946">
            <v>0</v>
          </cell>
          <cell r="D2946">
            <v>99.5</v>
          </cell>
        </row>
        <row r="2947">
          <cell r="A2947">
            <v>6539529</v>
          </cell>
          <cell r="B2947" t="str">
            <v>MS SB Win. XP Pro ESP. CD  SP3  1Pack</v>
          </cell>
          <cell r="C2947">
            <v>0</v>
          </cell>
          <cell r="D2947">
            <v>91</v>
          </cell>
        </row>
        <row r="2948">
          <cell r="A2948">
            <v>6539598</v>
          </cell>
          <cell r="B2948" t="str">
            <v>MS SB Windows 7 Home Prem 32bit [DT] DVD</v>
          </cell>
          <cell r="C2948">
            <v>0</v>
          </cell>
          <cell r="D2948">
            <v>82</v>
          </cell>
        </row>
        <row r="2949">
          <cell r="A2949">
            <v>6539606</v>
          </cell>
          <cell r="B2949" t="str">
            <v>MS SB Windows 7 Pro 32bit [DT] DVD</v>
          </cell>
          <cell r="C2949">
            <v>0</v>
          </cell>
          <cell r="D2949">
            <v>105</v>
          </cell>
        </row>
        <row r="2950">
          <cell r="A2950">
            <v>6539607</v>
          </cell>
          <cell r="B2950" t="str">
            <v>MS SB Windows 7 Pro 64bit [DT] DVD</v>
          </cell>
          <cell r="C2950">
            <v>0</v>
          </cell>
          <cell r="D2950">
            <v>95.9</v>
          </cell>
        </row>
        <row r="2951">
          <cell r="A2951">
            <v>6539610</v>
          </cell>
          <cell r="B2951" t="str">
            <v>MS SB Windows 7 Pro 32bit [F] DVD</v>
          </cell>
          <cell r="C2951">
            <v>0</v>
          </cell>
          <cell r="D2951">
            <v>102</v>
          </cell>
        </row>
        <row r="2952">
          <cell r="A2952">
            <v>6539612</v>
          </cell>
          <cell r="B2952" t="str">
            <v>MS SB Windows 7 Pro 32bit [UK] DVD</v>
          </cell>
          <cell r="C2952">
            <v>0</v>
          </cell>
          <cell r="D2952">
            <v>102</v>
          </cell>
        </row>
        <row r="2953">
          <cell r="A2953">
            <v>6539613</v>
          </cell>
          <cell r="B2953" t="str">
            <v>MS SB Windows 7 Pro 64bit [UK] DVD</v>
          </cell>
          <cell r="C2953">
            <v>0</v>
          </cell>
          <cell r="D2953">
            <v>115</v>
          </cell>
        </row>
        <row r="2954">
          <cell r="A2954">
            <v>6539615</v>
          </cell>
          <cell r="B2954" t="str">
            <v>MS SB Windows 7 Ultimate 64bit [DT] DVD</v>
          </cell>
          <cell r="C2954">
            <v>0</v>
          </cell>
          <cell r="D2954">
            <v>120</v>
          </cell>
        </row>
        <row r="2955">
          <cell r="A2955">
            <v>6539624</v>
          </cell>
          <cell r="B2955" t="str">
            <v>MS SB Win. 2008 Svr. R2 x64 +5CAL DT. 1Pk</v>
          </cell>
          <cell r="C2955">
            <v>0</v>
          </cell>
          <cell r="D2955">
            <v>540</v>
          </cell>
        </row>
        <row r="2956">
          <cell r="A2956">
            <v>6539706</v>
          </cell>
          <cell r="B2956" t="str">
            <v>Microsoft Win 7 Professional 32 Bit DE</v>
          </cell>
          <cell r="C2956">
            <v>0</v>
          </cell>
          <cell r="D2956">
            <v>103.9</v>
          </cell>
        </row>
        <row r="2957">
          <cell r="A2957">
            <v>6539720</v>
          </cell>
          <cell r="B2957" t="str">
            <v>MS SB Windows 7 Ultimate 32bit SP1 [UK] DVD</v>
          </cell>
          <cell r="C2957">
            <v>0</v>
          </cell>
          <cell r="D2957">
            <v>134.9</v>
          </cell>
        </row>
        <row r="2958">
          <cell r="A2958">
            <v>6539721</v>
          </cell>
          <cell r="B2958" t="str">
            <v>MS SB Windows 7 Ultimate 64bit SP1 [UK] DVD</v>
          </cell>
          <cell r="C2958">
            <v>0</v>
          </cell>
          <cell r="D2958">
            <v>129.9</v>
          </cell>
        </row>
        <row r="2959">
          <cell r="A2959">
            <v>6602912</v>
          </cell>
          <cell r="B2959" t="str">
            <v>Norton Internet Security 2007 V.10 1 User dt.CD</v>
          </cell>
          <cell r="C2959">
            <v>0</v>
          </cell>
          <cell r="D2959">
            <v>33</v>
          </cell>
        </row>
        <row r="2960">
          <cell r="A2960">
            <v>6661016</v>
          </cell>
          <cell r="B2960" t="str">
            <v>Kaspersky  Antivirus 2009 1. Liz. DVD [DE]</v>
          </cell>
          <cell r="C2960">
            <v>0</v>
          </cell>
          <cell r="D2960">
            <v>15.5</v>
          </cell>
        </row>
        <row r="2961">
          <cell r="A2961">
            <v>6661030</v>
          </cell>
          <cell r="B2961" t="str">
            <v>Kaspersky  Antivirus 2010 1. Liz. DVD [DE]</v>
          </cell>
          <cell r="C2961">
            <v>0</v>
          </cell>
          <cell r="D2961">
            <v>16.100000000000001</v>
          </cell>
        </row>
        <row r="2962">
          <cell r="A2962">
            <v>6782148</v>
          </cell>
          <cell r="B2962" t="str">
            <v>pcANYWHERE 12 Host only dt.CD</v>
          </cell>
          <cell r="C2962">
            <v>0</v>
          </cell>
          <cell r="D2962">
            <v>108</v>
          </cell>
        </row>
        <row r="2963">
          <cell r="A2963">
            <v>6782150</v>
          </cell>
          <cell r="B2963" t="str">
            <v>pcANYWHERE 12.1 Host only dt.CD</v>
          </cell>
          <cell r="C2963">
            <v>0</v>
          </cell>
          <cell r="D2963">
            <v>109</v>
          </cell>
        </row>
        <row r="2964">
          <cell r="A2964" t="str">
            <v>7000001M</v>
          </cell>
          <cell r="B2964" t="str">
            <v>OMNIKEY 3921 inkl. Rahmen + ext. USB Kabel</v>
          </cell>
          <cell r="C2964">
            <v>0</v>
          </cell>
          <cell r="D2964">
            <v>18.3</v>
          </cell>
        </row>
        <row r="2965">
          <cell r="A2965" t="str">
            <v>7000002M</v>
          </cell>
          <cell r="B2965" t="str">
            <v>Karl Storz BNC Aufkleber 1 Satz / 3 Stück</v>
          </cell>
          <cell r="C2965">
            <v>75</v>
          </cell>
          <cell r="D2965">
            <v>1.55</v>
          </cell>
        </row>
        <row r="2966">
          <cell r="A2966" t="str">
            <v>7000003M</v>
          </cell>
          <cell r="B2966" t="str">
            <v>Batterie Knopfzelle CR2032 3V</v>
          </cell>
          <cell r="C2966">
            <v>0</v>
          </cell>
          <cell r="D2966">
            <v>0.7</v>
          </cell>
        </row>
        <row r="2967">
          <cell r="A2967" t="str">
            <v>7000004M</v>
          </cell>
          <cell r="B2967" t="str">
            <v>Slotblech Metall</v>
          </cell>
          <cell r="C2967">
            <v>0</v>
          </cell>
          <cell r="D2967">
            <v>0.5</v>
          </cell>
        </row>
        <row r="2968">
          <cell r="A2968" t="str">
            <v>7000005M</v>
          </cell>
          <cell r="B2968" t="str">
            <v>Slot Blech für Parallel-Port D-Sub 25 pol.</v>
          </cell>
          <cell r="C2968">
            <v>0</v>
          </cell>
          <cell r="D2968">
            <v>0.92</v>
          </cell>
        </row>
        <row r="2969">
          <cell r="A2969" t="str">
            <v>7000006M</v>
          </cell>
          <cell r="B2969" t="str">
            <v>USB auf PS2 Adapter</v>
          </cell>
          <cell r="C2969">
            <v>0</v>
          </cell>
          <cell r="D2969">
            <v>0.74</v>
          </cell>
        </row>
        <row r="2970">
          <cell r="A2970" t="str">
            <v>7000007M</v>
          </cell>
          <cell r="B2970" t="str">
            <v>Kabelbinder Schwarz 2.6x135mm</v>
          </cell>
          <cell r="C2970">
            <v>10372</v>
          </cell>
          <cell r="D2970">
            <v>0</v>
          </cell>
        </row>
        <row r="2971">
          <cell r="A2971" t="str">
            <v>7000008M</v>
          </cell>
          <cell r="B2971" t="str">
            <v>Karl Storz Kartonaufkleber 95%</v>
          </cell>
          <cell r="C2971">
            <v>0</v>
          </cell>
          <cell r="D2971">
            <v>0.02</v>
          </cell>
        </row>
        <row r="2972">
          <cell r="A2972" t="str">
            <v>7000009M</v>
          </cell>
          <cell r="B2972" t="str">
            <v>Staubschutzkappe Firewire 1394A schwarz</v>
          </cell>
          <cell r="C2972">
            <v>0</v>
          </cell>
          <cell r="D2972">
            <v>0.1</v>
          </cell>
        </row>
        <row r="2973">
          <cell r="A2973" t="str">
            <v>7000010M</v>
          </cell>
          <cell r="B2973" t="str">
            <v>Karl Storz AIDA Compact NEO advanced 1 Satz / 2 St</v>
          </cell>
          <cell r="C2973">
            <v>0</v>
          </cell>
          <cell r="D2973">
            <v>1.4</v>
          </cell>
        </row>
        <row r="2974">
          <cell r="A2974" t="str">
            <v>7000011M</v>
          </cell>
          <cell r="B2974" t="str">
            <v>Fächerscheibe 6,3mm, DIN6798A</v>
          </cell>
          <cell r="C2974">
            <v>0</v>
          </cell>
          <cell r="D2974">
            <v>0</v>
          </cell>
        </row>
        <row r="2975">
          <cell r="A2975" t="str">
            <v>7000012M</v>
          </cell>
          <cell r="B2975" t="str">
            <v>Flachstecker 6,3x0,8 M4, gewinkelt, Messing</v>
          </cell>
          <cell r="C2975">
            <v>0</v>
          </cell>
          <cell r="D2975">
            <v>0</v>
          </cell>
        </row>
        <row r="2976">
          <cell r="A2976" t="str">
            <v>7000013M</v>
          </cell>
          <cell r="B2976" t="str">
            <v>Fächerscheibe 4,3 mm, DIN6798A</v>
          </cell>
          <cell r="C2976">
            <v>0</v>
          </cell>
          <cell r="D2976">
            <v>0</v>
          </cell>
        </row>
        <row r="2977">
          <cell r="A2977" t="str">
            <v>7000014M</v>
          </cell>
          <cell r="B2977" t="str">
            <v>Schraube Philips UNC6/32 3,8"</v>
          </cell>
          <cell r="C2977">
            <v>0</v>
          </cell>
          <cell r="D2977">
            <v>0</v>
          </cell>
        </row>
        <row r="2978">
          <cell r="A2978" t="str">
            <v>7000015M</v>
          </cell>
          <cell r="B2978" t="str">
            <v>HDMI-Buchsen-Staub-Schutzkappen</v>
          </cell>
          <cell r="C2978">
            <v>0</v>
          </cell>
          <cell r="D2978">
            <v>0.08</v>
          </cell>
        </row>
        <row r="2979">
          <cell r="A2979" t="str">
            <v>7000016M</v>
          </cell>
          <cell r="B2979" t="str">
            <v>DVI-Buchsen-Staub-Schutzkappen</v>
          </cell>
          <cell r="C2979">
            <v>0</v>
          </cell>
          <cell r="D2979">
            <v>0.11</v>
          </cell>
        </row>
        <row r="2980">
          <cell r="A2980" t="str">
            <v>7000017M</v>
          </cell>
          <cell r="B2980" t="str">
            <v>AC-Leitung 2 polig</v>
          </cell>
          <cell r="C2980">
            <v>0</v>
          </cell>
          <cell r="D2980">
            <v>3.5</v>
          </cell>
        </row>
        <row r="2981">
          <cell r="A2981" t="str">
            <v>7000018M</v>
          </cell>
          <cell r="B2981" t="str">
            <v>AC/DC Wandler 100W 24V</v>
          </cell>
          <cell r="C2981">
            <v>0</v>
          </cell>
          <cell r="D2981">
            <v>54</v>
          </cell>
        </row>
        <row r="2982">
          <cell r="A2982" t="str">
            <v>7000019M</v>
          </cell>
          <cell r="B2982" t="str">
            <v>DC Leitung (BEO-1000M - DC Wandler)</v>
          </cell>
          <cell r="C2982">
            <v>0</v>
          </cell>
          <cell r="D2982">
            <v>4.5</v>
          </cell>
        </row>
        <row r="2983">
          <cell r="A2983" t="str">
            <v>7000020M</v>
          </cell>
          <cell r="B2983" t="str">
            <v>DC Leitung (24V DC zur USV IN+ und GND)</v>
          </cell>
          <cell r="C2983">
            <v>0</v>
          </cell>
          <cell r="D2983">
            <v>3.5</v>
          </cell>
        </row>
        <row r="2984">
          <cell r="A2984" t="str">
            <v>7000021M</v>
          </cell>
          <cell r="B2984" t="str">
            <v>DC/ ATX Wandler 100W</v>
          </cell>
          <cell r="C2984">
            <v>0</v>
          </cell>
          <cell r="D2984">
            <v>42</v>
          </cell>
        </row>
        <row r="2985">
          <cell r="A2985" t="str">
            <v>7000022M</v>
          </cell>
          <cell r="B2985" t="str">
            <v>ATX Kablebaum</v>
          </cell>
          <cell r="C2985">
            <v>0</v>
          </cell>
          <cell r="D2985">
            <v>11</v>
          </cell>
        </row>
        <row r="2986">
          <cell r="A2986" t="str">
            <v>7000023M</v>
          </cell>
          <cell r="B2986" t="str">
            <v>DC USV</v>
          </cell>
          <cell r="C2986">
            <v>0</v>
          </cell>
          <cell r="D2986">
            <v>138</v>
          </cell>
        </row>
        <row r="2987">
          <cell r="A2987" t="str">
            <v>7000024M</v>
          </cell>
          <cell r="B2987" t="str">
            <v>110W/ 18-30VDC/ +12VDC DC/DC Wandler</v>
          </cell>
          <cell r="C2987">
            <v>0</v>
          </cell>
          <cell r="D2987">
            <v>46</v>
          </cell>
        </row>
        <row r="2988">
          <cell r="A2988" t="str">
            <v>7000025M</v>
          </cell>
          <cell r="B2988" t="str">
            <v>USV Software</v>
          </cell>
          <cell r="C2988">
            <v>0</v>
          </cell>
          <cell r="D2988">
            <v>19</v>
          </cell>
        </row>
        <row r="2989">
          <cell r="A2989" t="str">
            <v>7000026M</v>
          </cell>
          <cell r="B2989" t="str">
            <v>Akkupack 12V/ 1,2 Ah für USV</v>
          </cell>
          <cell r="C2989">
            <v>0</v>
          </cell>
          <cell r="D2989">
            <v>11.8</v>
          </cell>
        </row>
        <row r="2990">
          <cell r="A2990" t="str">
            <v>7000027M</v>
          </cell>
          <cell r="B2990" t="str">
            <v>Bicker BP-1225 Akkupack für USV (AESCU.certus)</v>
          </cell>
          <cell r="C2990">
            <v>0</v>
          </cell>
          <cell r="D2990">
            <v>57</v>
          </cell>
        </row>
        <row r="2991">
          <cell r="A2991" t="str">
            <v>7000028M</v>
          </cell>
          <cell r="B2991" t="str">
            <v>Bicker USV Batterie (THA.leia)</v>
          </cell>
          <cell r="C2991">
            <v>0</v>
          </cell>
          <cell r="D2991">
            <v>15.6</v>
          </cell>
        </row>
        <row r="2992">
          <cell r="A2992" t="str">
            <v>7000029M</v>
          </cell>
          <cell r="B2992" t="str">
            <v>Lüfterhalterung AIDA Fusion 120x120mm Lüfter</v>
          </cell>
          <cell r="C2992">
            <v>347</v>
          </cell>
          <cell r="D2992">
            <v>1.96</v>
          </cell>
        </row>
        <row r="2993">
          <cell r="A2993" t="str">
            <v>7000030M</v>
          </cell>
          <cell r="B2993" t="str">
            <v>ESD Lüftungsgitter AIDA Fusion 120x120mm Lüfter</v>
          </cell>
          <cell r="C2993">
            <v>352</v>
          </cell>
          <cell r="D2993">
            <v>3.56</v>
          </cell>
        </row>
        <row r="2994">
          <cell r="A2994" t="str">
            <v>7000031M</v>
          </cell>
          <cell r="B2994" t="str">
            <v>Lüfterhalterung AIDA Fusion 60x60mm Lüfter</v>
          </cell>
          <cell r="C2994">
            <v>707</v>
          </cell>
          <cell r="D2994">
            <v>1.0900000000000001</v>
          </cell>
        </row>
        <row r="2995">
          <cell r="A2995" t="str">
            <v>7000032M</v>
          </cell>
          <cell r="B2995" t="str">
            <v>ESD Lüftungsgitter AIDA Fusion 60x60mm Lüfter</v>
          </cell>
          <cell r="C2995">
            <v>810</v>
          </cell>
          <cell r="D2995">
            <v>1.27</v>
          </cell>
        </row>
        <row r="2996">
          <cell r="A2996" t="str">
            <v>7000033M</v>
          </cell>
          <cell r="B2996" t="str">
            <v>Lüfterhalterung AIDA Fusion 40x40mm Lüfter</v>
          </cell>
          <cell r="C2996">
            <v>58</v>
          </cell>
          <cell r="D2996">
            <v>1.01</v>
          </cell>
        </row>
        <row r="2997">
          <cell r="A2997" t="str">
            <v>7000034M</v>
          </cell>
          <cell r="B2997" t="str">
            <v>Schraube M3x6mm Torx Schwarz</v>
          </cell>
          <cell r="C2997">
            <v>1744</v>
          </cell>
          <cell r="D2997">
            <v>7.0000000000000007E-2</v>
          </cell>
        </row>
        <row r="2998">
          <cell r="A2998" t="str">
            <v>7000035M</v>
          </cell>
          <cell r="B2998" t="str">
            <v>Schraube M3x6mm Torx</v>
          </cell>
          <cell r="C2998">
            <v>4755</v>
          </cell>
          <cell r="D2998">
            <v>0.05</v>
          </cell>
        </row>
        <row r="2999">
          <cell r="A2999" t="str">
            <v>7000036M</v>
          </cell>
          <cell r="B2999" t="str">
            <v>Schraube M3x4mm Linse Torx</v>
          </cell>
          <cell r="C2999">
            <v>616</v>
          </cell>
          <cell r="D2999">
            <v>0.04</v>
          </cell>
        </row>
        <row r="3000">
          <cell r="A3000" t="str">
            <v>7000037M</v>
          </cell>
          <cell r="B3000" t="str">
            <v>Schraube M4x6mm Linse Kreuz</v>
          </cell>
          <cell r="C3000">
            <v>1379</v>
          </cell>
          <cell r="D3000">
            <v>0.02</v>
          </cell>
        </row>
        <row r="3001">
          <cell r="A3001" t="str">
            <v>7000038M</v>
          </cell>
          <cell r="B3001" t="str">
            <v>Schraube M4x25mm Linse</v>
          </cell>
          <cell r="C3001">
            <v>369</v>
          </cell>
          <cell r="D3001">
            <v>0.02</v>
          </cell>
        </row>
        <row r="3002">
          <cell r="A3002" t="str">
            <v>7000039M</v>
          </cell>
          <cell r="B3002" t="str">
            <v>POAG-Set FR-POAG-S Farbring</v>
          </cell>
          <cell r="C3002">
            <v>0</v>
          </cell>
          <cell r="D3002">
            <v>0.37</v>
          </cell>
        </row>
        <row r="3003">
          <cell r="A3003" t="str">
            <v>7000040M</v>
          </cell>
          <cell r="B3003" t="str">
            <v>POAG-Set Fächerscheibe F/M6 DIN6798 BN781</v>
          </cell>
          <cell r="C3003">
            <v>0</v>
          </cell>
          <cell r="D3003">
            <v>0.03</v>
          </cell>
        </row>
        <row r="3004">
          <cell r="A3004" t="str">
            <v>7000041M</v>
          </cell>
          <cell r="B3004" t="str">
            <v>POAG-Set Unterlegscheibe U/M6 NI</v>
          </cell>
          <cell r="C3004">
            <v>0</v>
          </cell>
          <cell r="D3004">
            <v>0.04</v>
          </cell>
        </row>
        <row r="3005">
          <cell r="A3005" t="str">
            <v>7000042M</v>
          </cell>
          <cell r="B3005" t="str">
            <v>POAG-Set POAG-S6/15 Bolzen</v>
          </cell>
          <cell r="C3005">
            <v>0</v>
          </cell>
          <cell r="D3005">
            <v>0.37</v>
          </cell>
        </row>
        <row r="3006">
          <cell r="A3006" t="str">
            <v>7000043M</v>
          </cell>
          <cell r="B3006" t="str">
            <v>POAG-Set Selbstsichernde Mutter M6 VA</v>
          </cell>
          <cell r="C3006">
            <v>1113</v>
          </cell>
          <cell r="D3006">
            <v>0</v>
          </cell>
        </row>
        <row r="3007">
          <cell r="A3007" t="str">
            <v>7000044M</v>
          </cell>
          <cell r="B3007" t="str">
            <v>Lüfterhalterung AIDA Fusion 40x40mm Lüfter</v>
          </cell>
          <cell r="C3007">
            <v>60</v>
          </cell>
          <cell r="D3007">
            <v>1.01</v>
          </cell>
        </row>
        <row r="3008">
          <cell r="A3008" t="str">
            <v>7000045M</v>
          </cell>
          <cell r="B3008" t="str">
            <v>LED-Platine Storz AIDA Fusion DFISB331-IPM BEG</v>
          </cell>
          <cell r="C3008">
            <v>219</v>
          </cell>
          <cell r="D3008">
            <v>7.23</v>
          </cell>
        </row>
        <row r="3009">
          <cell r="A3009" t="str">
            <v>7000046M</v>
          </cell>
          <cell r="B3009" t="str">
            <v>Aufkleber AIDA Compact NEO advanced 1 Satz / 2 St</v>
          </cell>
          <cell r="C3009">
            <v>388</v>
          </cell>
          <cell r="D3009">
            <v>0.64</v>
          </cell>
        </row>
        <row r="3010">
          <cell r="A3010" t="str">
            <v>7000047M</v>
          </cell>
          <cell r="B3010" t="str">
            <v>Sicherungshalter UL FX0380/BK</v>
          </cell>
          <cell r="C3010">
            <v>0</v>
          </cell>
          <cell r="D3010">
            <v>2</v>
          </cell>
        </row>
        <row r="3011">
          <cell r="A3011" t="str">
            <v>7000048M</v>
          </cell>
          <cell r="B3011" t="str">
            <v>Lüfterhalterung 80x80mm Lüfter</v>
          </cell>
          <cell r="C3011">
            <v>549</v>
          </cell>
          <cell r="D3011">
            <v>1.27</v>
          </cell>
        </row>
        <row r="3012">
          <cell r="A3012" t="str">
            <v>7000049M</v>
          </cell>
          <cell r="B3012" t="str">
            <v>ESD Lüftungsgitter 80x80mm Lüfter</v>
          </cell>
          <cell r="C3012">
            <v>533</v>
          </cell>
          <cell r="D3012">
            <v>1.64</v>
          </cell>
        </row>
        <row r="3013">
          <cell r="A3013" t="str">
            <v>7000050M</v>
          </cell>
          <cell r="B3013" t="str">
            <v>Befestigungswinkel Widerstand AC²</v>
          </cell>
          <cell r="C3013">
            <v>114</v>
          </cell>
          <cell r="D3013">
            <v>4.9400000000000004</v>
          </cell>
        </row>
        <row r="3014">
          <cell r="A3014" t="str">
            <v>7000051M</v>
          </cell>
          <cell r="B3014" t="str">
            <v>Abdichtung Einbautouchpad</v>
          </cell>
          <cell r="C3014">
            <v>0</v>
          </cell>
          <cell r="D3014">
            <v>2.52</v>
          </cell>
        </row>
        <row r="3015">
          <cell r="A3015" t="str">
            <v>7000052M</v>
          </cell>
          <cell r="B3015" t="str">
            <v>Lichtleiter PANA.ceia²</v>
          </cell>
          <cell r="C3015">
            <v>414</v>
          </cell>
          <cell r="D3015">
            <v>0.16</v>
          </cell>
        </row>
        <row r="3016">
          <cell r="A3016" t="str">
            <v>7000053M</v>
          </cell>
          <cell r="B3016" t="str">
            <v>Netzeingangsbuchse 10A, V-Lock</v>
          </cell>
          <cell r="C3016">
            <v>109</v>
          </cell>
          <cell r="D3016">
            <v>1.2</v>
          </cell>
        </row>
        <row r="3017">
          <cell r="A3017" t="str">
            <v>7000054M</v>
          </cell>
          <cell r="B3017" t="str">
            <v>Reinigungsschwamm AESCU.certus Kühlrippen</v>
          </cell>
          <cell r="C3017">
            <v>0</v>
          </cell>
          <cell r="D3017">
            <v>1.0900000000000001</v>
          </cell>
        </row>
        <row r="3018">
          <cell r="A3018" t="str">
            <v>7000055M</v>
          </cell>
          <cell r="B3018" t="str">
            <v>Feinsicherung 5x20mm 4A 250V 522.523 4A</v>
          </cell>
          <cell r="C3018">
            <v>320</v>
          </cell>
          <cell r="D3018">
            <v>0.17</v>
          </cell>
        </row>
        <row r="3019">
          <cell r="A3019" t="str">
            <v>7000056M</v>
          </cell>
          <cell r="B3019" t="str">
            <v>Aufkleber Verpackung MCD</v>
          </cell>
          <cell r="C3019">
            <v>822</v>
          </cell>
          <cell r="D3019">
            <v>0.25</v>
          </cell>
        </row>
        <row r="3020">
          <cell r="A3020" t="str">
            <v>7000057M</v>
          </cell>
          <cell r="B3020" t="str">
            <v>Aufkleber Galvanisch getrennt 10x8mm</v>
          </cell>
          <cell r="C3020">
            <v>328</v>
          </cell>
          <cell r="D3020">
            <v>7.0000000000000007E-2</v>
          </cell>
        </row>
        <row r="3021">
          <cell r="A3021" t="str">
            <v>7000058M</v>
          </cell>
          <cell r="B3021" t="str">
            <v>Aufkleber Set COM3 bis COM6 f. RS232-Aufn. 37x6mm</v>
          </cell>
          <cell r="C3021">
            <v>0</v>
          </cell>
          <cell r="D3021">
            <v>1.38</v>
          </cell>
        </row>
        <row r="3022">
          <cell r="A3022" t="str">
            <v>7000059M</v>
          </cell>
          <cell r="B3022" t="str">
            <v>Kabelverschraubung, teilbar, QVT 25</v>
          </cell>
          <cell r="C3022">
            <v>18</v>
          </cell>
          <cell r="D3022">
            <v>4.8</v>
          </cell>
        </row>
        <row r="3023">
          <cell r="A3023" t="str">
            <v>7000060M</v>
          </cell>
          <cell r="B3023" t="str">
            <v>Gegenmutter, teilbar, GMT 25</v>
          </cell>
          <cell r="C3023">
            <v>17</v>
          </cell>
          <cell r="D3023">
            <v>1.58</v>
          </cell>
        </row>
        <row r="3024">
          <cell r="A3024" t="str">
            <v>7000061M</v>
          </cell>
          <cell r="B3024" t="str">
            <v>Kabeltülle, 8-9mm, QT 8</v>
          </cell>
          <cell r="C3024">
            <v>17</v>
          </cell>
          <cell r="D3024">
            <v>0.64</v>
          </cell>
        </row>
        <row r="3025">
          <cell r="A3025" t="str">
            <v>7000062M</v>
          </cell>
          <cell r="B3025" t="str">
            <v>LED-Platine AIDA Control NEO</v>
          </cell>
          <cell r="C3025">
            <v>655</v>
          </cell>
          <cell r="D3025">
            <v>4.03</v>
          </cell>
        </row>
        <row r="3026">
          <cell r="A3026" t="str">
            <v>7000063M</v>
          </cell>
          <cell r="B3026" t="str">
            <v>Aufkleber "HistoScanning 3D by AMD"</v>
          </cell>
          <cell r="C3026">
            <v>191</v>
          </cell>
          <cell r="D3026">
            <v>0.56999999999999995</v>
          </cell>
        </row>
        <row r="3027">
          <cell r="A3027" t="str">
            <v>7000064M</v>
          </cell>
          <cell r="B3027" t="str">
            <v>HDD LED THA.leia 21,5"</v>
          </cell>
          <cell r="C3027">
            <v>0</v>
          </cell>
          <cell r="D3027">
            <v>9.32</v>
          </cell>
        </row>
        <row r="3028">
          <cell r="A3028" t="str">
            <v>7000065M</v>
          </cell>
          <cell r="B3028" t="str">
            <v>Linsenschraube BN4825 M3x5 AMD G3</v>
          </cell>
          <cell r="C3028">
            <v>3948</v>
          </cell>
          <cell r="D3028">
            <v>0.02</v>
          </cell>
        </row>
        <row r="3029">
          <cell r="A3029" t="str">
            <v>7000066M</v>
          </cell>
          <cell r="B3029" t="str">
            <v>Linsenschraube BN4825 M4x8 AMD G3</v>
          </cell>
          <cell r="C3029">
            <v>1960</v>
          </cell>
          <cell r="D3029">
            <v>0.02</v>
          </cell>
        </row>
        <row r="3030">
          <cell r="A3030" t="str">
            <v>7000067M</v>
          </cell>
          <cell r="B3030" t="str">
            <v>Linsenschraube BN4825 M5x14 AMD G3</v>
          </cell>
          <cell r="C3030">
            <v>1994</v>
          </cell>
          <cell r="D3030">
            <v>0.04</v>
          </cell>
        </row>
        <row r="3031">
          <cell r="A3031" t="str">
            <v>7000068M</v>
          </cell>
          <cell r="B3031" t="str">
            <v>Sechskantmutter M3 Form B AMD G3</v>
          </cell>
          <cell r="C3031">
            <v>1000</v>
          </cell>
          <cell r="D3031">
            <v>0.01</v>
          </cell>
        </row>
        <row r="3032">
          <cell r="A3032" t="str">
            <v>7000069M</v>
          </cell>
          <cell r="B3032" t="str">
            <v>Linsenschraube BN4825 M3x8 AMD G3</v>
          </cell>
          <cell r="C3032">
            <v>3983</v>
          </cell>
          <cell r="D3032">
            <v>0.02</v>
          </cell>
        </row>
        <row r="3033">
          <cell r="A3033" t="str">
            <v>7000070M</v>
          </cell>
          <cell r="B3033" t="str">
            <v>Isolierung Stromanschlusskabel, IEC</v>
          </cell>
          <cell r="C3033">
            <v>35</v>
          </cell>
          <cell r="D3033">
            <v>0.89</v>
          </cell>
        </row>
        <row r="3034">
          <cell r="A3034" t="str">
            <v>7000071M</v>
          </cell>
          <cell r="B3034" t="str">
            <v>Senkkopfschraube M3x5 AMD G3</v>
          </cell>
          <cell r="C3034">
            <v>1996</v>
          </cell>
          <cell r="D3034">
            <v>0.01</v>
          </cell>
        </row>
        <row r="3035">
          <cell r="A3035" t="str">
            <v>7000072M</v>
          </cell>
          <cell r="B3035" t="str">
            <v>Linsensenkkopfschraube M3x6 AMD G3</v>
          </cell>
          <cell r="C3035">
            <v>1989</v>
          </cell>
          <cell r="D3035">
            <v>0.01</v>
          </cell>
        </row>
        <row r="3036">
          <cell r="A3036" t="str">
            <v>7000073M</v>
          </cell>
          <cell r="B3036" t="str">
            <v>Label Gebrauchsanweisung Ø13mm</v>
          </cell>
          <cell r="C3036">
            <v>0</v>
          </cell>
          <cell r="D3036">
            <v>0</v>
          </cell>
        </row>
        <row r="3037">
          <cell r="A3037" t="str">
            <v>7000074M</v>
          </cell>
          <cell r="B3037" t="str">
            <v>UNC Countersink Screw Fusion HDD</v>
          </cell>
          <cell r="C3037">
            <v>0</v>
          </cell>
          <cell r="D3037">
            <v>0</v>
          </cell>
        </row>
        <row r="3038">
          <cell r="A3038" t="str">
            <v>7000075M</v>
          </cell>
          <cell r="B3038" t="str">
            <v>Aufkleber AIDA Compact NEO advanced 1 Satz / 2 St</v>
          </cell>
          <cell r="C3038">
            <v>604</v>
          </cell>
          <cell r="D3038">
            <v>0.75</v>
          </cell>
        </row>
        <row r="3039">
          <cell r="A3039" t="str">
            <v>7000076M</v>
          </cell>
          <cell r="B3039" t="str">
            <v>Reinigungsschwamm AESCU.certus Kühlrippen</v>
          </cell>
          <cell r="C3039">
            <v>198</v>
          </cell>
          <cell r="D3039">
            <v>0</v>
          </cell>
        </row>
        <row r="3040">
          <cell r="A3040" t="str">
            <v>7000077M</v>
          </cell>
          <cell r="B3040" t="str">
            <v>Linsenschraube BN384 M3x6 AMD G3</v>
          </cell>
          <cell r="C3040">
            <v>2000</v>
          </cell>
          <cell r="D3040">
            <v>0.01</v>
          </cell>
        </row>
        <row r="3041">
          <cell r="A3041" t="str">
            <v>7000078M</v>
          </cell>
          <cell r="B3041" t="str">
            <v>Sechskantmutter M4 Form B AMD G3</v>
          </cell>
          <cell r="C3041">
            <v>1044</v>
          </cell>
          <cell r="D3041">
            <v>0.01</v>
          </cell>
        </row>
        <row r="3042">
          <cell r="A3042" t="str">
            <v>7000079M</v>
          </cell>
          <cell r="B3042" t="str">
            <v>M16 Flanschstecker Binder, 0,75 mm², 4polig, IP 40</v>
          </cell>
          <cell r="C3042">
            <v>1</v>
          </cell>
          <cell r="D3042">
            <v>4.53</v>
          </cell>
        </row>
        <row r="3043">
          <cell r="A3043" t="str">
            <v>7000080M</v>
          </cell>
          <cell r="B3043" t="str">
            <v>Karl Storz BNC Aufkleber 1 Satz / 3 Stück</v>
          </cell>
          <cell r="C3043">
            <v>0</v>
          </cell>
          <cell r="D3043">
            <v>0</v>
          </cell>
        </row>
        <row r="3044">
          <cell r="A3044" t="str">
            <v>7000081M</v>
          </cell>
          <cell r="B3044" t="str">
            <v>Front LED - I/O Aktivität - Grün  Ø8mm</v>
          </cell>
          <cell r="C3044">
            <v>7</v>
          </cell>
          <cell r="D3044">
            <v>3.51</v>
          </cell>
        </row>
        <row r="3045">
          <cell r="A3045" t="str">
            <v>7000082M</v>
          </cell>
          <cell r="B3045" t="str">
            <v>Front LED - HDD Aktivitätt - Gelb Ø8mm</v>
          </cell>
          <cell r="C3045">
            <v>10</v>
          </cell>
          <cell r="D3045">
            <v>3.51</v>
          </cell>
        </row>
        <row r="3046">
          <cell r="A3046" t="str">
            <v>7000083M</v>
          </cell>
          <cell r="B3046" t="str">
            <v>EMV Dichtung - USB Schnittstelle (intern)</v>
          </cell>
          <cell r="C3046">
            <v>0</v>
          </cell>
          <cell r="D3046">
            <v>2.5</v>
          </cell>
        </row>
        <row r="3047">
          <cell r="A3047" t="str">
            <v>7000084M</v>
          </cell>
          <cell r="B3047" t="str">
            <v>Linsenkopfschraube M2,5 x 5 Philips</v>
          </cell>
          <cell r="C3047">
            <v>979</v>
          </cell>
          <cell r="D3047">
            <v>0</v>
          </cell>
        </row>
        <row r="3048">
          <cell r="A3048" t="str">
            <v>7000085M</v>
          </cell>
          <cell r="B3048" t="str">
            <v>USB EMC Gasket AMD G3</v>
          </cell>
          <cell r="C3048">
            <v>210</v>
          </cell>
          <cell r="D3048">
            <v>1.32</v>
          </cell>
        </row>
        <row r="3049">
          <cell r="A3049" t="str">
            <v>7000086M</v>
          </cell>
          <cell r="B3049" t="str">
            <v>M16 Flanschstecker,außen verschraubbar, 4polig</v>
          </cell>
          <cell r="C3049">
            <v>5</v>
          </cell>
          <cell r="D3049">
            <v>5.47</v>
          </cell>
        </row>
        <row r="3050">
          <cell r="A3050" t="str">
            <v>7000087M</v>
          </cell>
          <cell r="B3050" t="str">
            <v>Abstandsbolzen UNC-Metrisch, Typ B, 5,0 mm</v>
          </cell>
          <cell r="C3050">
            <v>200</v>
          </cell>
          <cell r="D3050">
            <v>0.11</v>
          </cell>
        </row>
        <row r="3051">
          <cell r="A3051" t="str">
            <v>7000088M</v>
          </cell>
          <cell r="B3051" t="str">
            <v>Moxa CPU Modul RS232</v>
          </cell>
          <cell r="C3051">
            <v>2</v>
          </cell>
          <cell r="D3051">
            <v>108.8</v>
          </cell>
        </row>
        <row r="3052">
          <cell r="A3052" t="str">
            <v>7000089M</v>
          </cell>
          <cell r="B3052" t="str">
            <v>Moxa 8port RS232 Standard Modul male</v>
          </cell>
          <cell r="C3052">
            <v>2</v>
          </cell>
          <cell r="D3052">
            <v>90.95</v>
          </cell>
        </row>
        <row r="3053">
          <cell r="A3053" t="str">
            <v>7100001M</v>
          </cell>
          <cell r="B3053" t="str">
            <v>BNC Verbindungskabel schwarz St./St. 30 cm 75 Ohm</v>
          </cell>
          <cell r="C3053">
            <v>0</v>
          </cell>
          <cell r="D3053">
            <v>3.5</v>
          </cell>
        </row>
        <row r="3054">
          <cell r="A3054" t="str">
            <v>7100002M</v>
          </cell>
          <cell r="B3054" t="str">
            <v>BNC Verbindungskabel schwarz St./St. 50 cm 75 Ohm</v>
          </cell>
          <cell r="C3054">
            <v>0</v>
          </cell>
          <cell r="D3054">
            <v>3.58</v>
          </cell>
        </row>
        <row r="3055">
          <cell r="A3055" t="str">
            <v>7100003M</v>
          </cell>
          <cell r="B3055" t="str">
            <v>ADA-CDROM-IDE-SATA-KIT</v>
          </cell>
          <cell r="C3055">
            <v>0</v>
          </cell>
          <cell r="D3055">
            <v>28</v>
          </cell>
        </row>
        <row r="3056">
          <cell r="A3056" t="str">
            <v>7100004M</v>
          </cell>
          <cell r="B3056" t="str">
            <v>Kabel Camera Link 3m</v>
          </cell>
          <cell r="C3056">
            <v>2</v>
          </cell>
          <cell r="D3056">
            <v>105</v>
          </cell>
        </row>
        <row r="3057">
          <cell r="A3057" t="str">
            <v>7100005M</v>
          </cell>
          <cell r="B3057" t="str">
            <v>Stromkabel EU 3m</v>
          </cell>
          <cell r="C3057">
            <v>0</v>
          </cell>
          <cell r="D3057">
            <v>7.5</v>
          </cell>
        </row>
        <row r="3058">
          <cell r="A3058" t="str">
            <v>7100006M</v>
          </cell>
          <cell r="B3058" t="str">
            <v>Kabel RG 59/1,5m/ BNC BU./4pol. MiniDINSt.</v>
          </cell>
          <cell r="C3058">
            <v>0</v>
          </cell>
          <cell r="D3058">
            <v>8.92</v>
          </cell>
        </row>
        <row r="3059">
          <cell r="A3059" t="str">
            <v>7100007M</v>
          </cell>
          <cell r="B3059" t="str">
            <v>LCD Poweradapter - AESCU.certus</v>
          </cell>
          <cell r="C3059">
            <v>0</v>
          </cell>
          <cell r="D3059">
            <v>21</v>
          </cell>
        </row>
        <row r="3060">
          <cell r="A3060" t="str">
            <v>7100008M</v>
          </cell>
          <cell r="B3060" t="str">
            <v>Adapter IDE Slim-Optical Drive auf SATA</v>
          </cell>
          <cell r="C3060">
            <v>0</v>
          </cell>
          <cell r="D3060">
            <v>12.09</v>
          </cell>
        </row>
        <row r="3061">
          <cell r="A3061" t="str">
            <v>7100009M</v>
          </cell>
          <cell r="B3061" t="str">
            <v>Kabel Erdung PC &lt;-&gt; Cart</v>
          </cell>
          <cell r="C3061">
            <v>0</v>
          </cell>
          <cell r="D3061">
            <v>1</v>
          </cell>
        </row>
        <row r="3062">
          <cell r="A3062" t="str">
            <v>7100010M</v>
          </cell>
          <cell r="B3062" t="str">
            <v>ATX Mainboard Stromadapter 24/20 pol.</v>
          </cell>
          <cell r="C3062">
            <v>0</v>
          </cell>
          <cell r="D3062">
            <v>5.21</v>
          </cell>
        </row>
        <row r="3063">
          <cell r="A3063" t="str">
            <v>7100011M</v>
          </cell>
          <cell r="B3063" t="str">
            <v>S-VHS Kabel, 5 m</v>
          </cell>
          <cell r="C3063">
            <v>0</v>
          </cell>
          <cell r="D3063">
            <v>7.75</v>
          </cell>
        </row>
        <row r="3064">
          <cell r="A3064" t="str">
            <v>7100012M</v>
          </cell>
          <cell r="B3064" t="str">
            <v>VGA Kabel D-Sub auf D-Sub 10m</v>
          </cell>
          <cell r="C3064">
            <v>0</v>
          </cell>
          <cell r="D3064">
            <v>9.3000000000000007</v>
          </cell>
        </row>
        <row r="3065">
          <cell r="A3065" t="str">
            <v>7100013M</v>
          </cell>
          <cell r="B3065" t="str">
            <v>Power Adapter GP2000 12A4 für ELO</v>
          </cell>
          <cell r="C3065">
            <v>0</v>
          </cell>
          <cell r="D3065">
            <v>18.5</v>
          </cell>
        </row>
        <row r="3066">
          <cell r="A3066" t="str">
            <v>7100014M</v>
          </cell>
          <cell r="B3066" t="str">
            <v>Prüfadapter für LCD Poweranschluss</v>
          </cell>
          <cell r="C3066">
            <v>0</v>
          </cell>
          <cell r="D3066">
            <v>20</v>
          </cell>
        </row>
        <row r="3067">
          <cell r="A3067" t="str">
            <v>7100015M</v>
          </cell>
          <cell r="B3067" t="str">
            <v>BNC Verbindungskabel schwarz St./St. 30 cm 75 Ohm</v>
          </cell>
          <cell r="C3067">
            <v>120</v>
          </cell>
          <cell r="D3067">
            <v>4.7</v>
          </cell>
        </row>
        <row r="3068">
          <cell r="A3068" t="str">
            <v>7100016M</v>
          </cell>
          <cell r="B3068" t="str">
            <v>BNC Verbindungskabel schwarz St./St. 50 cm 75 Ohm</v>
          </cell>
          <cell r="C3068">
            <v>90</v>
          </cell>
          <cell r="D3068">
            <v>4.79</v>
          </cell>
        </row>
        <row r="3069">
          <cell r="A3069" t="str">
            <v>7100017M</v>
          </cell>
          <cell r="B3069" t="str">
            <v>USB2.0 Kabel A/B Stecker m. Ferriten 1,8m</v>
          </cell>
          <cell r="C3069">
            <v>0</v>
          </cell>
          <cell r="D3069">
            <v>11.72</v>
          </cell>
        </row>
        <row r="3070">
          <cell r="A3070" t="str">
            <v>7100018M</v>
          </cell>
          <cell r="B3070" t="str">
            <v>Power Connector (female)</v>
          </cell>
          <cell r="C3070">
            <v>0</v>
          </cell>
          <cell r="D3070">
            <v>8.5</v>
          </cell>
        </row>
        <row r="3071">
          <cell r="A3071" t="str">
            <v>7100019M</v>
          </cell>
          <cell r="B3071" t="str">
            <v>Power Connector (male)</v>
          </cell>
          <cell r="C3071">
            <v>0</v>
          </cell>
          <cell r="D3071">
            <v>8.17</v>
          </cell>
        </row>
        <row r="3072">
          <cell r="A3072" t="str">
            <v>7100020M</v>
          </cell>
          <cell r="B3072" t="str">
            <v>VGA Kabel HD-15 (M) HD-15 (M) 3m schwarz</v>
          </cell>
          <cell r="C3072">
            <v>0</v>
          </cell>
          <cell r="D3072">
            <v>5.95</v>
          </cell>
        </row>
        <row r="3073">
          <cell r="A3073" t="str">
            <v>7100021M</v>
          </cell>
          <cell r="B3073" t="str">
            <v>AC Adapter (with European powercord)</v>
          </cell>
          <cell r="C3073">
            <v>0</v>
          </cell>
          <cell r="D3073">
            <v>29</v>
          </cell>
        </row>
        <row r="3074">
          <cell r="A3074" t="str">
            <v>7100022M</v>
          </cell>
          <cell r="B3074" t="str">
            <v>LCD Poweradapter - AESCU.certus</v>
          </cell>
          <cell r="C3074">
            <v>0</v>
          </cell>
          <cell r="D3074">
            <v>9.35</v>
          </cell>
        </row>
        <row r="3075">
          <cell r="A3075" t="str">
            <v>7100023M</v>
          </cell>
          <cell r="B3075" t="str">
            <v>LCD Poweradapter - AESCU.certus 2,1mm/5,5mm</v>
          </cell>
          <cell r="C3075">
            <v>0</v>
          </cell>
          <cell r="D3075">
            <v>10.5</v>
          </cell>
        </row>
        <row r="3076">
          <cell r="A3076" t="str">
            <v>7100024M</v>
          </cell>
          <cell r="B3076" t="str">
            <v>LCD Poweradapter - AESCU.certus 2,1mm/5,5mm 3m</v>
          </cell>
          <cell r="C3076">
            <v>0</v>
          </cell>
          <cell r="D3076">
            <v>14</v>
          </cell>
        </row>
        <row r="3077">
          <cell r="A3077" t="str">
            <v>7100025M</v>
          </cell>
          <cell r="B3077" t="str">
            <v>PS2 / USB Adapter</v>
          </cell>
          <cell r="C3077">
            <v>0</v>
          </cell>
          <cell r="D3077">
            <v>0.61</v>
          </cell>
        </row>
        <row r="3078">
          <cell r="A3078" t="str">
            <v>7100026M</v>
          </cell>
          <cell r="B3078" t="str">
            <v>Anschlusskabel PHR-2farbig für ES&amp;S RS232-Isolator</v>
          </cell>
          <cell r="C3078">
            <v>0</v>
          </cell>
          <cell r="D3078">
            <v>3.41</v>
          </cell>
        </row>
        <row r="3079">
          <cell r="A3079" t="str">
            <v>7100027M</v>
          </cell>
          <cell r="B3079" t="str">
            <v>Kabel nach Vorgabe mit Zgl. FK, grau</v>
          </cell>
          <cell r="C3079">
            <v>0</v>
          </cell>
          <cell r="D3079">
            <v>2.95</v>
          </cell>
        </row>
        <row r="3080">
          <cell r="A3080" t="str">
            <v>7100028M</v>
          </cell>
          <cell r="B3080" t="str">
            <v>Klinke Adapter 20cm 3,5 mm Buchse zu 2x3,5 mm Stk.</v>
          </cell>
          <cell r="C3080">
            <v>0</v>
          </cell>
          <cell r="D3080">
            <v>0.9</v>
          </cell>
        </row>
        <row r="3081">
          <cell r="A3081" t="str">
            <v>7100029M</v>
          </cell>
          <cell r="B3081" t="str">
            <v>LCD Poweradapter internes Kabel mit Slotblech</v>
          </cell>
          <cell r="C3081">
            <v>223</v>
          </cell>
          <cell r="D3081">
            <v>10</v>
          </cell>
        </row>
        <row r="3082">
          <cell r="A3082" t="str">
            <v>7100030M</v>
          </cell>
          <cell r="B3082" t="str">
            <v>CameraLink.Kabel, latch/screw 3M</v>
          </cell>
          <cell r="C3082">
            <v>0</v>
          </cell>
          <cell r="D3082">
            <v>175</v>
          </cell>
        </row>
        <row r="3083">
          <cell r="A3083" t="str">
            <v>7100031M</v>
          </cell>
          <cell r="B3083" t="str">
            <v>Adapter IDE&lt;&gt;SATA</v>
          </cell>
          <cell r="C3083">
            <v>1</v>
          </cell>
          <cell r="D3083">
            <v>7.86</v>
          </cell>
        </row>
        <row r="3084">
          <cell r="A3084" t="str">
            <v>7100032M</v>
          </cell>
          <cell r="B3084" t="str">
            <v>Kabel USB auf RS232</v>
          </cell>
          <cell r="C3084">
            <v>288</v>
          </cell>
          <cell r="D3084">
            <v>29.8</v>
          </cell>
        </row>
        <row r="3085">
          <cell r="A3085" t="str">
            <v>7100033M</v>
          </cell>
          <cell r="B3085" t="str">
            <v>Kabel RS232 intern für DFI HR100-CRM</v>
          </cell>
          <cell r="C3085">
            <v>52</v>
          </cell>
          <cell r="D3085">
            <v>2.2999999999999998</v>
          </cell>
        </row>
        <row r="3086">
          <cell r="A3086" t="str">
            <v>7100034M</v>
          </cell>
          <cell r="B3086" t="str">
            <v>Kabel S-Video 5 Meter M-M</v>
          </cell>
          <cell r="C3086">
            <v>0</v>
          </cell>
          <cell r="D3086">
            <v>1.5</v>
          </cell>
        </row>
        <row r="3087">
          <cell r="A3087" t="str">
            <v>7100035M</v>
          </cell>
          <cell r="B3087" t="str">
            <v>Kabel S-Video 15 Meter M-M</v>
          </cell>
          <cell r="C3087">
            <v>2</v>
          </cell>
          <cell r="D3087">
            <v>25.8</v>
          </cell>
        </row>
        <row r="3088">
          <cell r="A3088" t="str">
            <v>7100036M</v>
          </cell>
          <cell r="B3088" t="str">
            <v>Kabel S-Video 5 Meter M-W</v>
          </cell>
          <cell r="C3088">
            <v>0</v>
          </cell>
          <cell r="D3088">
            <v>3.85</v>
          </cell>
        </row>
        <row r="3089">
          <cell r="A3089" t="str">
            <v>7100037M</v>
          </cell>
          <cell r="B3089" t="str">
            <v>Kabel SATA Slim nach SATA 7pin+2pin Strom</v>
          </cell>
          <cell r="C3089">
            <v>1649</v>
          </cell>
          <cell r="D3089">
            <v>1.7</v>
          </cell>
        </row>
        <row r="3090">
          <cell r="A3090" t="str">
            <v>7100038M</v>
          </cell>
          <cell r="B3090" t="str">
            <v>Cable Audio DFI SB331-IPM</v>
          </cell>
          <cell r="C3090">
            <v>83</v>
          </cell>
          <cell r="D3090">
            <v>7.45</v>
          </cell>
        </row>
        <row r="3091">
          <cell r="A3091" t="str">
            <v>7100039M</v>
          </cell>
          <cell r="B3091" t="str">
            <v>Kabel USB3.0 intern</v>
          </cell>
          <cell r="C3091">
            <v>318</v>
          </cell>
          <cell r="D3091">
            <v>12.6</v>
          </cell>
        </row>
        <row r="3092">
          <cell r="A3092" t="str">
            <v>7100040M</v>
          </cell>
          <cell r="B3092" t="str">
            <v>Platine Lemo</v>
          </cell>
          <cell r="C3092">
            <v>243</v>
          </cell>
          <cell r="D3092">
            <v>68.88</v>
          </cell>
        </row>
        <row r="3093">
          <cell r="A3093" t="str">
            <v>7100041M</v>
          </cell>
          <cell r="B3093" t="str">
            <v>Erdungskabel (Set)</v>
          </cell>
          <cell r="C3093">
            <v>328</v>
          </cell>
          <cell r="D3093">
            <v>6.45</v>
          </cell>
        </row>
        <row r="3094">
          <cell r="A3094" t="str">
            <v>7100042M</v>
          </cell>
          <cell r="B3094" t="str">
            <v>Adapter USB-A-Buchse an PS/2-Stecker</v>
          </cell>
          <cell r="C3094">
            <v>0</v>
          </cell>
          <cell r="D3094">
            <v>0.65</v>
          </cell>
        </row>
        <row r="3095">
          <cell r="A3095" t="str">
            <v>7100043M</v>
          </cell>
          <cell r="B3095" t="str">
            <v>DC Leitung für BEO-1000M DC Wandler</v>
          </cell>
          <cell r="C3095">
            <v>21</v>
          </cell>
          <cell r="D3095">
            <v>5.9</v>
          </cell>
        </row>
        <row r="3096">
          <cell r="A3096" t="str">
            <v>7100044M</v>
          </cell>
          <cell r="B3096" t="str">
            <v>Netzteil AC2 AC Versorgungsleitung</v>
          </cell>
          <cell r="C3096">
            <v>80</v>
          </cell>
          <cell r="D3096">
            <v>5.9</v>
          </cell>
        </row>
        <row r="3097">
          <cell r="A3097" t="str">
            <v>7100045M</v>
          </cell>
          <cell r="B3097" t="str">
            <v>Karte GPIO ohne Slotblech und ohne Kabel</v>
          </cell>
          <cell r="C3097">
            <v>418</v>
          </cell>
          <cell r="D3097">
            <v>43.4</v>
          </cell>
        </row>
        <row r="3098">
          <cell r="A3098" t="str">
            <v>7100046M</v>
          </cell>
          <cell r="B3098" t="str">
            <v>Kabel GPIO Karte 45 cm</v>
          </cell>
          <cell r="C3098">
            <v>409</v>
          </cell>
          <cell r="D3098">
            <v>9.15</v>
          </cell>
        </row>
        <row r="3099">
          <cell r="A3099" t="str">
            <v>7100047M</v>
          </cell>
          <cell r="B3099" t="str">
            <v>Kabel GPIO Karte 44 cm BEG</v>
          </cell>
          <cell r="C3099">
            <v>0</v>
          </cell>
          <cell r="D3099">
            <v>2.5099999999999998</v>
          </cell>
        </row>
        <row r="3100">
          <cell r="A3100" t="str">
            <v>7100048M</v>
          </cell>
          <cell r="B3100" t="str">
            <v>Cable Control To Rear PNL AIDA-HD connect</v>
          </cell>
          <cell r="C3100">
            <v>604</v>
          </cell>
          <cell r="D3100">
            <v>75.41</v>
          </cell>
        </row>
        <row r="3101">
          <cell r="A3101" t="str">
            <v>7100049M</v>
          </cell>
          <cell r="B3101" t="str">
            <v>Gerätestecker C14 IEC 10A 6,3mm, schwarz</v>
          </cell>
          <cell r="C3101">
            <v>327</v>
          </cell>
          <cell r="D3101">
            <v>1.8</v>
          </cell>
        </row>
        <row r="3102">
          <cell r="A3102" t="str">
            <v>7100050M</v>
          </cell>
          <cell r="B3102" t="str">
            <v>Platine Lemo PS/2 GIO BEG</v>
          </cell>
          <cell r="C3102">
            <v>208</v>
          </cell>
          <cell r="D3102">
            <v>69.790000000000006</v>
          </cell>
        </row>
        <row r="3103">
          <cell r="A3103" t="str">
            <v>7100051M</v>
          </cell>
          <cell r="B3103" t="str">
            <v>Cable DB62M to 8 ports DB9/25 Male</v>
          </cell>
          <cell r="C3103">
            <v>-136</v>
          </cell>
          <cell r="D3103">
            <v>0</v>
          </cell>
        </row>
        <row r="3104">
          <cell r="A3104" t="str">
            <v>7100052M</v>
          </cell>
          <cell r="B3104" t="str">
            <v>Kabel Klinke PREMIUM 3,5mm Stecker/Stecker 5m</v>
          </cell>
          <cell r="C3104">
            <v>0</v>
          </cell>
          <cell r="D3104">
            <v>6.28</v>
          </cell>
        </row>
        <row r="3105">
          <cell r="A3105" t="str">
            <v>7100053M</v>
          </cell>
          <cell r="B3105" t="str">
            <v>Kabel SATA3 30cm mit Sicherung</v>
          </cell>
          <cell r="C3105">
            <v>2166</v>
          </cell>
          <cell r="D3105">
            <v>0.35</v>
          </cell>
        </row>
        <row r="3106">
          <cell r="A3106" t="str">
            <v>7100054M</v>
          </cell>
          <cell r="B3106" t="str">
            <v>Kabel Converter - Panel 6Pin 300mm Pitch 1,0mm</v>
          </cell>
          <cell r="C3106">
            <v>47</v>
          </cell>
          <cell r="D3106">
            <v>12.8</v>
          </cell>
        </row>
        <row r="3107">
          <cell r="A3107" t="str">
            <v>7100055M</v>
          </cell>
          <cell r="B3107" t="str">
            <v>LVDS Kabel to G190EG01V1 500mm</v>
          </cell>
          <cell r="C3107">
            <v>0</v>
          </cell>
          <cell r="D3107">
            <v>8.5</v>
          </cell>
        </row>
        <row r="3108">
          <cell r="A3108" t="str">
            <v>7100056M</v>
          </cell>
          <cell r="B3108" t="str">
            <v>MCD-Convertercable CR100-CRM/LM215WF3-SLC1 500mm</v>
          </cell>
          <cell r="C3108">
            <v>43</v>
          </cell>
          <cell r="D3108">
            <v>8.9700000000000006</v>
          </cell>
        </row>
        <row r="3109">
          <cell r="A3109" t="str">
            <v>7100057M</v>
          </cell>
          <cell r="B3109" t="str">
            <v>S-VHS Kabel (Y/C), 5 m</v>
          </cell>
          <cell r="C3109">
            <v>0</v>
          </cell>
          <cell r="D3109">
            <v>18.899999999999999</v>
          </cell>
        </row>
        <row r="3110">
          <cell r="A3110" t="str">
            <v>7100058M</v>
          </cell>
          <cell r="B3110" t="str">
            <v>Kabel LVDS 500mm auf DFI Mainboard - TL21,5"</v>
          </cell>
          <cell r="C3110">
            <v>45</v>
          </cell>
          <cell r="D3110">
            <v>9.51</v>
          </cell>
        </row>
        <row r="3111">
          <cell r="A3111" t="str">
            <v>7100059M</v>
          </cell>
          <cell r="B3111" t="str">
            <v>Erdungskabel 15cm</v>
          </cell>
          <cell r="C3111">
            <v>0</v>
          </cell>
          <cell r="D3111">
            <v>0</v>
          </cell>
        </row>
        <row r="3112">
          <cell r="A3112" t="str">
            <v>7100060M</v>
          </cell>
          <cell r="B3112" t="str">
            <v>USB Port mit Erdungskabel 15 cm</v>
          </cell>
          <cell r="C3112">
            <v>140</v>
          </cell>
          <cell r="D3112">
            <v>5.25</v>
          </cell>
        </row>
        <row r="3113">
          <cell r="A3113" t="str">
            <v>7100061M</v>
          </cell>
          <cell r="B3113" t="str">
            <v>Kabel Inverter 500mm</v>
          </cell>
          <cell r="C3113">
            <v>0</v>
          </cell>
          <cell r="D3113">
            <v>12</v>
          </cell>
        </row>
        <row r="3114">
          <cell r="A3114" t="str">
            <v>7100062M</v>
          </cell>
          <cell r="B3114" t="str">
            <v>Kabel Folie 60mm Raster 1mm 6pol.</v>
          </cell>
          <cell r="C3114">
            <v>0</v>
          </cell>
          <cell r="D3114">
            <v>5.82</v>
          </cell>
        </row>
        <row r="3115">
          <cell r="A3115" t="str">
            <v>7100063M</v>
          </cell>
          <cell r="B3115" t="str">
            <v>Patchkabel, SF-UTP, CAT5E 3m</v>
          </cell>
          <cell r="C3115">
            <v>25</v>
          </cell>
          <cell r="D3115">
            <v>0.77</v>
          </cell>
        </row>
        <row r="3116">
          <cell r="A3116" t="str">
            <v>7100064M</v>
          </cell>
          <cell r="B3116" t="str">
            <v>Crossover-Adapter RJ45</v>
          </cell>
          <cell r="C3116">
            <v>20</v>
          </cell>
          <cell r="D3116">
            <v>1.65</v>
          </cell>
        </row>
        <row r="3117">
          <cell r="A3117" t="str">
            <v>7100065M</v>
          </cell>
          <cell r="B3117" t="str">
            <v>Kabel S-Video 15 Meter 4-pol. Mini-DIN</v>
          </cell>
          <cell r="C3117">
            <v>0</v>
          </cell>
          <cell r="D3117">
            <v>110</v>
          </cell>
        </row>
        <row r="3118">
          <cell r="A3118" t="str">
            <v>7100066M</v>
          </cell>
          <cell r="B3118" t="str">
            <v>Kabel Touch DMC CB-SXC00 (RS232C/USB) 50 mm</v>
          </cell>
          <cell r="C3118">
            <v>8</v>
          </cell>
          <cell r="D3118">
            <v>10</v>
          </cell>
        </row>
        <row r="3119">
          <cell r="A3119" t="str">
            <v>7100067M</v>
          </cell>
          <cell r="B3119" t="str">
            <v>Kabel Touch DS-2018/CB-SXC00, 300mm</v>
          </cell>
          <cell r="C3119">
            <v>8</v>
          </cell>
          <cell r="D3119">
            <v>10</v>
          </cell>
        </row>
        <row r="3120">
          <cell r="A3120" t="str">
            <v>7100068M</v>
          </cell>
          <cell r="B3120" t="str">
            <v>LCD Pwr. Adap. Kabel mit Binder Stecker 1,6M</v>
          </cell>
          <cell r="C3120">
            <v>7</v>
          </cell>
          <cell r="D3120">
            <v>20.6</v>
          </cell>
        </row>
        <row r="3121">
          <cell r="A3121" t="str">
            <v>7100069M</v>
          </cell>
          <cell r="B3121" t="str">
            <v>Kabel USB 3.0 Front Panel 2-Port, intern, Typ A</v>
          </cell>
          <cell r="C3121">
            <v>9</v>
          </cell>
          <cell r="D3121">
            <v>10.029999999999999</v>
          </cell>
        </row>
        <row r="3122">
          <cell r="A3122" t="str">
            <v>7100070M</v>
          </cell>
          <cell r="B3122" t="str">
            <v>ES&amp;S Datenkabel für ES&amp;S RS232-Isolator L230</v>
          </cell>
          <cell r="C3122">
            <v>25</v>
          </cell>
          <cell r="D3122">
            <v>4.42</v>
          </cell>
        </row>
        <row r="3123">
          <cell r="A3123" t="str">
            <v>7100071M</v>
          </cell>
          <cell r="B3123" t="str">
            <v>Kabel DC Leitung für BEO-1000M DC Wandler</v>
          </cell>
          <cell r="C3123">
            <v>73</v>
          </cell>
          <cell r="D3123">
            <v>6.9</v>
          </cell>
        </row>
        <row r="3124">
          <cell r="A3124" t="str">
            <v>7100072M</v>
          </cell>
          <cell r="B3124" t="str">
            <v>USB Anschlusskabel für Einbautouchpad 180cm</v>
          </cell>
          <cell r="C3124">
            <v>0</v>
          </cell>
          <cell r="D3124">
            <v>6.44</v>
          </cell>
        </row>
        <row r="3125">
          <cell r="A3125" t="str">
            <v>7100073M</v>
          </cell>
          <cell r="B3125" t="str">
            <v>Kabel USB 2.0 intern, 30cm, inkl. Erdungsleitung</v>
          </cell>
          <cell r="C3125">
            <v>179</v>
          </cell>
          <cell r="D3125">
            <v>5.52</v>
          </cell>
        </row>
        <row r="3126">
          <cell r="A3126" t="str">
            <v>7100074M</v>
          </cell>
          <cell r="B3126" t="str">
            <v>Kabel SATA gewinkelt, 30cm, gelb, intern, mit Clip</v>
          </cell>
          <cell r="C3126">
            <v>152</v>
          </cell>
          <cell r="D3126">
            <v>0.62</v>
          </cell>
        </row>
        <row r="3127">
          <cell r="A3127" t="str">
            <v>7100075M</v>
          </cell>
          <cell r="B3127" t="str">
            <v>Kabel Backplate SATA 22pin &gt; 7pin+4pin Power (NSS)</v>
          </cell>
          <cell r="C3127">
            <v>196</v>
          </cell>
          <cell r="D3127">
            <v>4.5</v>
          </cell>
        </row>
        <row r="3128">
          <cell r="A3128" t="str">
            <v>7100076M</v>
          </cell>
          <cell r="B3128" t="str">
            <v>Stromkabel EU 10A, 2m, V-Lock</v>
          </cell>
          <cell r="C3128">
            <v>0</v>
          </cell>
          <cell r="D3128">
            <v>5.8</v>
          </cell>
        </row>
        <row r="3129">
          <cell r="A3129" t="str">
            <v>7100077M</v>
          </cell>
          <cell r="B3129" t="str">
            <v>Stromkabel EU 10A, 3m, V-Lock</v>
          </cell>
          <cell r="C3129">
            <v>6</v>
          </cell>
          <cell r="D3129">
            <v>6.35</v>
          </cell>
        </row>
        <row r="3130">
          <cell r="A3130" t="str">
            <v>7100078M</v>
          </cell>
          <cell r="B3130" t="str">
            <v>Adapter USB 2.0 zu Seriell</v>
          </cell>
          <cell r="C3130">
            <v>0</v>
          </cell>
          <cell r="D3130">
            <v>7.65</v>
          </cell>
        </row>
        <row r="3131">
          <cell r="A3131" t="str">
            <v>7100079M</v>
          </cell>
          <cell r="B3131" t="str">
            <v>Adapter Displayport Stecker &gt; HDMI Buchse</v>
          </cell>
          <cell r="C3131">
            <v>0</v>
          </cell>
          <cell r="D3131">
            <v>6.45</v>
          </cell>
        </row>
        <row r="3132">
          <cell r="A3132" t="str">
            <v>7100080M</v>
          </cell>
          <cell r="B3132" t="str">
            <v>Kabel HDMI high speed mit Ethernet A-A 2m</v>
          </cell>
          <cell r="C3132">
            <v>2</v>
          </cell>
          <cell r="D3132">
            <v>6.7</v>
          </cell>
        </row>
        <row r="3133">
          <cell r="A3133" t="str">
            <v>7100081M</v>
          </cell>
          <cell r="B3133" t="str">
            <v>S-Video Extender</v>
          </cell>
          <cell r="C3133">
            <v>0</v>
          </cell>
          <cell r="D3133">
            <v>1.2</v>
          </cell>
        </row>
        <row r="3134">
          <cell r="A3134" t="str">
            <v>7100082M</v>
          </cell>
          <cell r="B3134" t="str">
            <v>Crossover Patchkabel RJ45, 3Meter</v>
          </cell>
          <cell r="C3134">
            <v>3</v>
          </cell>
          <cell r="D3134">
            <v>1.22</v>
          </cell>
        </row>
        <row r="3135">
          <cell r="A3135" t="str">
            <v>7100083M</v>
          </cell>
          <cell r="B3135" t="str">
            <v>Stromkabel US-Layout, 1M</v>
          </cell>
          <cell r="C3135">
            <v>403</v>
          </cell>
          <cell r="D3135">
            <v>2.31</v>
          </cell>
        </row>
        <row r="3136">
          <cell r="A3136" t="str">
            <v>7100084M</v>
          </cell>
          <cell r="B3136" t="str">
            <v>Stromkabel EU-Layout, 1M</v>
          </cell>
          <cell r="C3136">
            <v>401</v>
          </cell>
          <cell r="D3136">
            <v>1.46</v>
          </cell>
        </row>
        <row r="3137">
          <cell r="A3137" t="str">
            <v>7100085M</v>
          </cell>
          <cell r="B3137" t="str">
            <v>Anschlusskabel USB 1,6m Trackball HistoScanning G3</v>
          </cell>
          <cell r="C3137">
            <v>23</v>
          </cell>
          <cell r="D3137">
            <v>6.5</v>
          </cell>
        </row>
        <row r="3138">
          <cell r="A3138" t="str">
            <v>7100086M</v>
          </cell>
          <cell r="B3138" t="str">
            <v>Anschlusskabel Taster Trackballl HistoScanning G3</v>
          </cell>
          <cell r="C3138">
            <v>25</v>
          </cell>
          <cell r="D3138">
            <v>4</v>
          </cell>
        </row>
        <row r="3139">
          <cell r="A3139" t="str">
            <v>7100087M</v>
          </cell>
          <cell r="B3139" t="str">
            <v>MPG Sicherungsadapter 4A UL</v>
          </cell>
          <cell r="C3139">
            <v>10</v>
          </cell>
          <cell r="D3139">
            <v>18.18</v>
          </cell>
        </row>
        <row r="3140">
          <cell r="A3140" t="str">
            <v>7100088M</v>
          </cell>
          <cell r="B3140" t="str">
            <v>Kabel DP St &gt; HDMI, 3m schwarz DL</v>
          </cell>
          <cell r="C3140">
            <v>11</v>
          </cell>
          <cell r="D3140">
            <v>10.5</v>
          </cell>
        </row>
        <row r="3141">
          <cell r="A3141" t="str">
            <v>7100089M</v>
          </cell>
          <cell r="B3141" t="str">
            <v>DA15 Verbindung mit LED</v>
          </cell>
          <cell r="C3141">
            <v>0</v>
          </cell>
          <cell r="D3141">
            <v>12.85</v>
          </cell>
        </row>
        <row r="3142">
          <cell r="A3142" t="str">
            <v>7100090M</v>
          </cell>
          <cell r="B3142" t="str">
            <v>Kabel USB 3.0 Verlängerung 1.0 M</v>
          </cell>
          <cell r="C3142">
            <v>21</v>
          </cell>
          <cell r="D3142">
            <v>3.6</v>
          </cell>
        </row>
        <row r="3143">
          <cell r="A3143" t="str">
            <v>7100091M</v>
          </cell>
          <cell r="B3143" t="str">
            <v>Kabel USB 3.0 Verlängerung 0.5 M</v>
          </cell>
          <cell r="C3143">
            <v>0</v>
          </cell>
          <cell r="D3143">
            <v>2.2000000000000002</v>
          </cell>
        </row>
        <row r="3144">
          <cell r="A3144" t="str">
            <v>7100092M</v>
          </cell>
          <cell r="B3144" t="str">
            <v>AMD HistoScanning G3 Cable Kit</v>
          </cell>
          <cell r="C3144">
            <v>10</v>
          </cell>
          <cell r="D3144">
            <v>4.04</v>
          </cell>
        </row>
        <row r="3145">
          <cell r="A3145" t="str">
            <v>7100093M</v>
          </cell>
          <cell r="B3145" t="str">
            <v>DVI Kabel, Digital Dual Link, 24+1, St/St, 1,8m</v>
          </cell>
          <cell r="C3145">
            <v>0</v>
          </cell>
          <cell r="D3145">
            <v>17</v>
          </cell>
        </row>
        <row r="3146">
          <cell r="A3146" t="str">
            <v>7100094M</v>
          </cell>
          <cell r="B3146" t="str">
            <v>Adapter Compact Flash 2.5" Rahmen SATA</v>
          </cell>
          <cell r="C3146">
            <v>38</v>
          </cell>
          <cell r="D3146">
            <v>10.35</v>
          </cell>
        </row>
        <row r="3147">
          <cell r="A3147" t="str">
            <v>7100095M</v>
          </cell>
          <cell r="B3147" t="str">
            <v>DIN-Kabeldose Serie 680 / Fabrikat Binder, 4-polig</v>
          </cell>
          <cell r="C3147">
            <v>0</v>
          </cell>
          <cell r="D3147">
            <v>5.39</v>
          </cell>
        </row>
        <row r="3148">
          <cell r="A3148" t="str">
            <v>7100096M</v>
          </cell>
          <cell r="B3148" t="str">
            <v>Erdungsleitung UPSI</v>
          </cell>
          <cell r="C3148">
            <v>0</v>
          </cell>
          <cell r="D3148">
            <v>0</v>
          </cell>
        </row>
        <row r="3149">
          <cell r="A3149" t="str">
            <v>7100097M</v>
          </cell>
          <cell r="B3149" t="str">
            <v>Federleiste 6 polig (USV Einbau)</v>
          </cell>
          <cell r="C3149">
            <v>0</v>
          </cell>
          <cell r="D3149">
            <v>5</v>
          </cell>
        </row>
        <row r="3150">
          <cell r="A3150" t="str">
            <v>7100098M</v>
          </cell>
          <cell r="B3150" t="str">
            <v>Stiftleiste 6polig (USV Einbau in Universalblech1)</v>
          </cell>
          <cell r="C3150">
            <v>0</v>
          </cell>
          <cell r="D3150">
            <v>5</v>
          </cell>
        </row>
        <row r="3151">
          <cell r="A3151" t="str">
            <v>7100099M</v>
          </cell>
          <cell r="B3151" t="str">
            <v>SVHS Anschlusskabel, SVHS, 2.00m, CCS, AWG26</v>
          </cell>
          <cell r="C3151">
            <v>0</v>
          </cell>
          <cell r="D3151">
            <v>0.25</v>
          </cell>
        </row>
        <row r="3152">
          <cell r="A3152" t="str">
            <v>7100100M</v>
          </cell>
          <cell r="B3152" t="str">
            <v>MCD-Convertercable CR100-CRM/G190EGO1V1 500mm</v>
          </cell>
          <cell r="C3152">
            <v>0</v>
          </cell>
          <cell r="D3152">
            <v>8.5</v>
          </cell>
        </row>
        <row r="3153">
          <cell r="A3153" t="str">
            <v>7100102M</v>
          </cell>
          <cell r="B3153" t="str">
            <v>Touchcontrollercable DUS-10US 1,8</v>
          </cell>
          <cell r="C3153">
            <v>0</v>
          </cell>
          <cell r="D3153">
            <v>9.9</v>
          </cell>
        </row>
        <row r="3154">
          <cell r="A3154" t="str">
            <v>7100103M</v>
          </cell>
          <cell r="B3154" t="str">
            <v>ES&amp;S Datenkabel für ES&amp;S RS232-Isolator L330</v>
          </cell>
          <cell r="C3154">
            <v>0</v>
          </cell>
          <cell r="D3154">
            <v>21.7</v>
          </cell>
        </row>
        <row r="3155">
          <cell r="A3155" t="str">
            <v>7100104M</v>
          </cell>
          <cell r="B3155" t="str">
            <v>Stromkabel 24V AESCU.mobilus² =&gt; AESCU.certus²</v>
          </cell>
          <cell r="C3155">
            <v>0</v>
          </cell>
          <cell r="D3155">
            <v>0</v>
          </cell>
        </row>
        <row r="3156">
          <cell r="A3156" t="str">
            <v>7100105M</v>
          </cell>
          <cell r="B3156" t="str">
            <v>Stromkabel 12V AESCU.mobilus² =&gt; Display Typ A</v>
          </cell>
          <cell r="C3156">
            <v>0</v>
          </cell>
          <cell r="D3156">
            <v>0</v>
          </cell>
        </row>
        <row r="3157">
          <cell r="A3157" t="str">
            <v>7100106M</v>
          </cell>
          <cell r="B3157" t="str">
            <v>Stromkabel 12V AESCU.mobilus² =&gt; OMNI.view</v>
          </cell>
          <cell r="C3157">
            <v>0</v>
          </cell>
          <cell r="D3157">
            <v>0</v>
          </cell>
        </row>
        <row r="3158">
          <cell r="A3158" t="str">
            <v>7100107M</v>
          </cell>
          <cell r="B3158" t="str">
            <v>Cable SDI (HD SDI) (3G SDI) 3 Meter</v>
          </cell>
          <cell r="C3158">
            <v>140</v>
          </cell>
          <cell r="D3158">
            <v>13.53</v>
          </cell>
        </row>
        <row r="3159">
          <cell r="A3159" t="str">
            <v>7100108M</v>
          </cell>
          <cell r="B3159" t="str">
            <v>DA15 Verbindung mit LED Ver. 2</v>
          </cell>
          <cell r="C3159">
            <v>51</v>
          </cell>
          <cell r="D3159">
            <v>20.52</v>
          </cell>
        </row>
        <row r="3160">
          <cell r="A3160" t="str">
            <v>7100109M</v>
          </cell>
          <cell r="B3160" t="str">
            <v>Erdungskabelset AMD G3</v>
          </cell>
          <cell r="C3160">
            <v>0</v>
          </cell>
          <cell r="D3160">
            <v>0</v>
          </cell>
        </row>
        <row r="3161">
          <cell r="A3161" t="str">
            <v>7100110M</v>
          </cell>
          <cell r="B3161" t="str">
            <v>Stromkabel UK 2m V-Lock</v>
          </cell>
          <cell r="C3161">
            <v>0</v>
          </cell>
          <cell r="D3161">
            <v>5.82</v>
          </cell>
        </row>
        <row r="3162">
          <cell r="A3162" t="str">
            <v>7100111M</v>
          </cell>
          <cell r="B3162" t="str">
            <v>Stromkabel IT 1.5m V-Lock</v>
          </cell>
          <cell r="C3162">
            <v>0</v>
          </cell>
          <cell r="D3162">
            <v>5.57</v>
          </cell>
        </row>
        <row r="3163">
          <cell r="A3163" t="str">
            <v>7100112M</v>
          </cell>
          <cell r="B3163" t="str">
            <v>Stromkabel US/MEX 3m V-Lock</v>
          </cell>
          <cell r="C3163">
            <v>0</v>
          </cell>
          <cell r="D3163">
            <v>6.37</v>
          </cell>
        </row>
        <row r="3164">
          <cell r="A3164" t="str">
            <v>7100113M</v>
          </cell>
          <cell r="B3164" t="str">
            <v>Stromkabel CH 2m V-Lock</v>
          </cell>
          <cell r="C3164">
            <v>0</v>
          </cell>
          <cell r="D3164">
            <v>5.94</v>
          </cell>
        </row>
        <row r="3165">
          <cell r="A3165" t="str">
            <v>7100114M</v>
          </cell>
          <cell r="B3165" t="str">
            <v>Stromkabel Offen 3m V-Lock</v>
          </cell>
          <cell r="C3165">
            <v>0</v>
          </cell>
          <cell r="D3165">
            <v>13.67</v>
          </cell>
        </row>
        <row r="3166">
          <cell r="A3166" t="str">
            <v>7100115M</v>
          </cell>
          <cell r="B3166" t="str">
            <v>Stromkabel Interconnect 1.5m V-Lock</v>
          </cell>
          <cell r="C3166">
            <v>0</v>
          </cell>
          <cell r="D3166">
            <v>3.21</v>
          </cell>
        </row>
        <row r="3167">
          <cell r="A3167" t="str">
            <v>7100116M</v>
          </cell>
          <cell r="B3167" t="str">
            <v>DC/DC Kabel 24V AESCU.mobilus²</v>
          </cell>
          <cell r="C3167">
            <v>0</v>
          </cell>
          <cell r="D3167">
            <v>0</v>
          </cell>
        </row>
        <row r="3168">
          <cell r="A3168" t="str">
            <v>7100117M</v>
          </cell>
          <cell r="B3168" t="str">
            <v>Kabeltülle Blind für Kabelführung</v>
          </cell>
          <cell r="C3168">
            <v>10</v>
          </cell>
          <cell r="D3168">
            <v>0.86</v>
          </cell>
        </row>
        <row r="3169">
          <cell r="A3169" t="str">
            <v>7100118M</v>
          </cell>
          <cell r="B3169" t="str">
            <v>Kabeltülle Ø 6mm für Kabelführungsleis</v>
          </cell>
          <cell r="C3169">
            <v>15</v>
          </cell>
          <cell r="D3169">
            <v>0.86</v>
          </cell>
        </row>
        <row r="3170">
          <cell r="A3170" t="str">
            <v>7100119M</v>
          </cell>
          <cell r="B3170" t="str">
            <v>Kabeleinführungsleiste IP54</v>
          </cell>
          <cell r="C3170">
            <v>5</v>
          </cell>
          <cell r="D3170">
            <v>8.8699999999999992</v>
          </cell>
        </row>
        <row r="3171">
          <cell r="A3171" t="str">
            <v>7100120M</v>
          </cell>
          <cell r="B3171" t="str">
            <v>Kabelsatz Remote USB Phase 1 KST</v>
          </cell>
          <cell r="C3171">
            <v>99</v>
          </cell>
          <cell r="D3171">
            <v>14</v>
          </cell>
        </row>
        <row r="3172">
          <cell r="A3172" t="str">
            <v>7100121M</v>
          </cell>
          <cell r="B3172" t="str">
            <v>Kabelsatz Remote LEMO Phase 1 KST</v>
          </cell>
          <cell r="C3172">
            <v>99</v>
          </cell>
          <cell r="D3172">
            <v>33</v>
          </cell>
        </row>
        <row r="3173">
          <cell r="A3173" t="str">
            <v>7100122M</v>
          </cell>
          <cell r="B3173" t="str">
            <v>Kabelsatz Remote PPON Phase 1 KST</v>
          </cell>
          <cell r="C3173">
            <v>99</v>
          </cell>
          <cell r="D3173">
            <v>16</v>
          </cell>
        </row>
        <row r="3174">
          <cell r="A3174" t="str">
            <v>7100123M</v>
          </cell>
          <cell r="B3174" t="str">
            <v>Platine Remote Power Switch Phase 1 KST</v>
          </cell>
          <cell r="C3174">
            <v>100</v>
          </cell>
          <cell r="D3174">
            <v>12.85</v>
          </cell>
        </row>
        <row r="3175">
          <cell r="A3175" t="str">
            <v>7100124M</v>
          </cell>
          <cell r="B3175" t="str">
            <v>Moxa Connection cable 2m RS232</v>
          </cell>
          <cell r="C3175">
            <v>2</v>
          </cell>
          <cell r="D3175">
            <v>9</v>
          </cell>
        </row>
        <row r="3176">
          <cell r="A3176" t="str">
            <v>7100125M</v>
          </cell>
          <cell r="B3176" t="str">
            <v>Kabel DC Leitung für BEO-1000M- B3 DC Wandler</v>
          </cell>
          <cell r="C3176">
            <v>55</v>
          </cell>
          <cell r="D3176">
            <v>5.9</v>
          </cell>
        </row>
        <row r="3177">
          <cell r="A3177" t="str">
            <v>7100126M</v>
          </cell>
          <cell r="B3177" t="str">
            <v>Stromkabel EU 10A, 3m, V-Lock, weiß</v>
          </cell>
          <cell r="C3177">
            <v>52</v>
          </cell>
          <cell r="D3177">
            <v>12.32</v>
          </cell>
        </row>
        <row r="3178">
          <cell r="A3178" t="str">
            <v>7100127M</v>
          </cell>
          <cell r="B3178" t="str">
            <v>Erdungskabel (Set) THA.leia 21,5 "</v>
          </cell>
          <cell r="C3178">
            <v>0</v>
          </cell>
          <cell r="D3178">
            <v>0</v>
          </cell>
        </row>
        <row r="3179">
          <cell r="A3179" t="str">
            <v>7100128M</v>
          </cell>
          <cell r="B3179" t="str">
            <v>HDMI auf DVI 18+1 Kabel 3 Meter FullHD Single Link</v>
          </cell>
          <cell r="C3179">
            <v>0</v>
          </cell>
          <cell r="D3179">
            <v>2.85</v>
          </cell>
        </row>
        <row r="3180">
          <cell r="A3180" t="str">
            <v>7200001M</v>
          </cell>
          <cell r="B3180" t="str">
            <v>Aufkleber "Schockindikator"</v>
          </cell>
          <cell r="C3180">
            <v>0</v>
          </cell>
          <cell r="D3180">
            <v>4.5</v>
          </cell>
        </row>
        <row r="3181">
          <cell r="A3181" t="str">
            <v>7200002M</v>
          </cell>
          <cell r="B3181" t="str">
            <v>Verpackung AMD ProCart</v>
          </cell>
          <cell r="C3181">
            <v>0</v>
          </cell>
          <cell r="D3181">
            <v>54</v>
          </cell>
        </row>
        <row r="3182">
          <cell r="A3182" t="str">
            <v>7200003M</v>
          </cell>
          <cell r="B3182" t="str">
            <v>KARL STORZ Kartonage</v>
          </cell>
          <cell r="C3182">
            <v>0</v>
          </cell>
          <cell r="D3182">
            <v>0</v>
          </cell>
        </row>
        <row r="3183">
          <cell r="A3183" t="str">
            <v>7200004M</v>
          </cell>
          <cell r="B3183" t="str">
            <v>KARL STORZ Packaging</v>
          </cell>
          <cell r="C3183">
            <v>0</v>
          </cell>
          <cell r="D3183">
            <v>20</v>
          </cell>
        </row>
        <row r="3184">
          <cell r="A3184" t="str">
            <v>7200005M</v>
          </cell>
          <cell r="B3184" t="str">
            <v>ClinScanner Shipping Box incl. freight</v>
          </cell>
          <cell r="C3184">
            <v>0</v>
          </cell>
          <cell r="D3184">
            <v>100</v>
          </cell>
        </row>
        <row r="3185">
          <cell r="A3185" t="str">
            <v>7200006M</v>
          </cell>
          <cell r="B3185" t="str">
            <v>Membran Verpackung Alpha Swing</v>
          </cell>
          <cell r="C3185">
            <v>0</v>
          </cell>
          <cell r="D3185">
            <v>22</v>
          </cell>
        </row>
        <row r="3186">
          <cell r="A3186" t="str">
            <v>7200007M</v>
          </cell>
          <cell r="B3186" t="str">
            <v>Shipping Envelope</v>
          </cell>
          <cell r="C3186">
            <v>40</v>
          </cell>
          <cell r="D3186">
            <v>0.49</v>
          </cell>
        </row>
        <row r="3187">
          <cell r="A3187" t="str">
            <v>7200008M</v>
          </cell>
          <cell r="B3187" t="str">
            <v>Packaging Cart Box AMD BOM3</v>
          </cell>
          <cell r="C3187">
            <v>11</v>
          </cell>
          <cell r="D3187">
            <v>0</v>
          </cell>
        </row>
        <row r="3188">
          <cell r="A3188" t="str">
            <v>7200009M</v>
          </cell>
          <cell r="B3188" t="str">
            <v>KARL STORZ Kartonage mit geänderter Bedruckung</v>
          </cell>
          <cell r="C3188">
            <v>0</v>
          </cell>
          <cell r="D3188">
            <v>13.35</v>
          </cell>
        </row>
        <row r="3189">
          <cell r="A3189" t="str">
            <v>7200010M</v>
          </cell>
          <cell r="B3189" t="str">
            <v>Verpackung Produkt KST geändertes Druckbild</v>
          </cell>
          <cell r="C3189">
            <v>185</v>
          </cell>
          <cell r="D3189">
            <v>7.7</v>
          </cell>
        </row>
        <row r="3190">
          <cell r="A3190" t="str">
            <v>7200011M</v>
          </cell>
          <cell r="B3190" t="str">
            <v>Verpackung THA.leia 19" / OMNI.view 21,5"</v>
          </cell>
          <cell r="C3190">
            <v>50</v>
          </cell>
          <cell r="D3190">
            <v>22.4</v>
          </cell>
        </row>
        <row r="3191">
          <cell r="A3191" t="str">
            <v>7200012M</v>
          </cell>
          <cell r="B3191" t="str">
            <v>flexible Schutzecke 255x150x150mm, EPP Schaumstoff</v>
          </cell>
          <cell r="C3191">
            <v>656</v>
          </cell>
          <cell r="D3191">
            <v>1.32</v>
          </cell>
        </row>
        <row r="3192">
          <cell r="A3192" t="str">
            <v>7200013M</v>
          </cell>
          <cell r="B3192" t="str">
            <v>Umverpackung THA.leia 21,5"</v>
          </cell>
          <cell r="C3192">
            <v>30</v>
          </cell>
          <cell r="D3192">
            <v>2.25</v>
          </cell>
        </row>
        <row r="3193">
          <cell r="A3193" t="str">
            <v>7200014M</v>
          </cell>
          <cell r="B3193" t="str">
            <v>Membranelemente THA.leia 21,5"</v>
          </cell>
          <cell r="C3193">
            <v>60</v>
          </cell>
          <cell r="D3193">
            <v>0</v>
          </cell>
        </row>
        <row r="3194">
          <cell r="A3194" t="str">
            <v>7200015M</v>
          </cell>
          <cell r="B3194" t="str">
            <v>KST Remote Box Verpackung 330x300x80</v>
          </cell>
          <cell r="C3194">
            <v>32</v>
          </cell>
          <cell r="D3194">
            <v>1.39</v>
          </cell>
        </row>
        <row r="3195">
          <cell r="A3195" t="str">
            <v>7300001M</v>
          </cell>
          <cell r="B3195" t="str">
            <v>Low Profile Lüfter-025mm-S775-Kupfer inkl. Bef.</v>
          </cell>
          <cell r="C3195">
            <v>0</v>
          </cell>
          <cell r="D3195">
            <v>23.7</v>
          </cell>
        </row>
        <row r="3196">
          <cell r="A3196" t="str">
            <v>7300002M</v>
          </cell>
          <cell r="B3196" t="str">
            <v>Aufnahmeblech CD-Rom - AESCU.certus</v>
          </cell>
          <cell r="C3196">
            <v>0</v>
          </cell>
          <cell r="D3196">
            <v>4.25</v>
          </cell>
        </row>
        <row r="3197">
          <cell r="A3197" t="str">
            <v>7300003M</v>
          </cell>
          <cell r="B3197" t="str">
            <v>EMV Blech für Kontron KT965/Flex</v>
          </cell>
          <cell r="C3197">
            <v>0</v>
          </cell>
          <cell r="D3197">
            <v>17.5</v>
          </cell>
        </row>
        <row r="3198">
          <cell r="A3198" t="str">
            <v>7300004M</v>
          </cell>
          <cell r="B3198" t="str">
            <v>Führungstülle 32,0/38,0/3,0</v>
          </cell>
          <cell r="C3198">
            <v>0</v>
          </cell>
          <cell r="D3198">
            <v>0.66</v>
          </cell>
        </row>
        <row r="3199">
          <cell r="A3199" t="str">
            <v>7300005M</v>
          </cell>
          <cell r="B3199" t="str">
            <v>Feinsicherung 5x20mm, T, 3.15A</v>
          </cell>
          <cell r="C3199">
            <v>0</v>
          </cell>
          <cell r="D3199">
            <v>0.28000000000000003</v>
          </cell>
        </row>
        <row r="3200">
          <cell r="A3200" t="str">
            <v>7300006M</v>
          </cell>
          <cell r="B3200" t="str">
            <v>Geräteeinbaustecker C14 IEC 1p</v>
          </cell>
          <cell r="C3200">
            <v>0</v>
          </cell>
          <cell r="D3200">
            <v>3.9</v>
          </cell>
        </row>
        <row r="3201">
          <cell r="A3201" t="str">
            <v>7300007M</v>
          </cell>
          <cell r="B3201" t="str">
            <v>Pattex Sekundenkleber Einfach u. Korrigierbar</v>
          </cell>
          <cell r="C3201">
            <v>0</v>
          </cell>
          <cell r="D3201">
            <v>2.44</v>
          </cell>
        </row>
        <row r="3202">
          <cell r="A3202" t="str">
            <v>7300008M</v>
          </cell>
          <cell r="B3202" t="str">
            <v>Loctite 454 Sekundenkleber Gel 20g</v>
          </cell>
          <cell r="C3202">
            <v>0</v>
          </cell>
          <cell r="D3202">
            <v>21.98</v>
          </cell>
        </row>
        <row r="3203">
          <cell r="A3203" t="str">
            <v>7300009M</v>
          </cell>
          <cell r="B3203" t="str">
            <v>SWIC0P Führungsrad</v>
          </cell>
          <cell r="C3203">
            <v>0</v>
          </cell>
          <cell r="D3203">
            <v>16.3</v>
          </cell>
        </row>
        <row r="3204">
          <cell r="A3204" t="str">
            <v>7300010M</v>
          </cell>
          <cell r="B3204" t="str">
            <v>SWIE0P Führungsrad</v>
          </cell>
          <cell r="C3204">
            <v>0</v>
          </cell>
          <cell r="D3204">
            <v>16.3</v>
          </cell>
        </row>
        <row r="3205">
          <cell r="A3205" t="str">
            <v>7300011M</v>
          </cell>
          <cell r="B3205" t="str">
            <v>CSWIC0P Führungsrad</v>
          </cell>
          <cell r="C3205">
            <v>0</v>
          </cell>
          <cell r="D3205">
            <v>13.14</v>
          </cell>
        </row>
        <row r="3206">
          <cell r="A3206" t="str">
            <v>7300012M</v>
          </cell>
          <cell r="B3206" t="str">
            <v>CSWIE0P Führungsrad</v>
          </cell>
          <cell r="C3206">
            <v>0</v>
          </cell>
          <cell r="D3206">
            <v>13.15</v>
          </cell>
        </row>
        <row r="3207">
          <cell r="A3207" t="str">
            <v>7300013M</v>
          </cell>
          <cell r="B3207" t="str">
            <v>WR0MI Einstellwerkzeug für DualVee Führungsrad</v>
          </cell>
          <cell r="C3207">
            <v>0</v>
          </cell>
          <cell r="D3207">
            <v>11.57</v>
          </cell>
        </row>
        <row r="3208">
          <cell r="A3208" t="str">
            <v>7300014M</v>
          </cell>
          <cell r="B3208" t="str">
            <v>Drehmomenteinsatz TI100-1018 0.6Nm/5.3Lb-in</v>
          </cell>
          <cell r="C3208">
            <v>0</v>
          </cell>
          <cell r="D3208">
            <v>6.2</v>
          </cell>
        </row>
        <row r="3209">
          <cell r="A3209" t="str">
            <v>7300015M</v>
          </cell>
          <cell r="B3209" t="str">
            <v>Drehmomenteinsatz TI100-1018 0.4Nm/3.5Lb-in</v>
          </cell>
          <cell r="C3209">
            <v>0</v>
          </cell>
          <cell r="D3209">
            <v>6.9</v>
          </cell>
        </row>
        <row r="3210">
          <cell r="A3210" t="str">
            <v>7300016M</v>
          </cell>
          <cell r="B3210" t="str">
            <v>Drehmomenteinsatz TI100-1018 0.8Nm/7.1Lb-in</v>
          </cell>
          <cell r="C3210">
            <v>0</v>
          </cell>
          <cell r="D3210">
            <v>6.9</v>
          </cell>
        </row>
        <row r="3211">
          <cell r="A3211" t="str">
            <v>7300017M</v>
          </cell>
          <cell r="B3211" t="str">
            <v>MCD Folientaster für IP Display</v>
          </cell>
          <cell r="C3211">
            <v>0</v>
          </cell>
          <cell r="D3211">
            <v>37.17</v>
          </cell>
        </row>
        <row r="3212">
          <cell r="A3212" t="str">
            <v>7300018M</v>
          </cell>
          <cell r="B3212" t="str">
            <v>Easy Chain Z06 Kabelführung 19 Glieder</v>
          </cell>
          <cell r="C3212">
            <v>0</v>
          </cell>
          <cell r="D3212">
            <v>6.88</v>
          </cell>
        </row>
        <row r="3213">
          <cell r="A3213" t="str">
            <v>7300019M</v>
          </cell>
          <cell r="B3213" t="str">
            <v>Easy Chain Z06 Endstücke (2er set)</v>
          </cell>
          <cell r="C3213">
            <v>0</v>
          </cell>
          <cell r="D3213">
            <v>3.02</v>
          </cell>
        </row>
        <row r="3214">
          <cell r="A3214" t="str">
            <v>7300020M</v>
          </cell>
          <cell r="B3214" t="str">
            <v>Schulterschraube M4x0.7 Edelstahl</v>
          </cell>
          <cell r="C3214">
            <v>0</v>
          </cell>
          <cell r="D3214">
            <v>1.72</v>
          </cell>
        </row>
        <row r="3215">
          <cell r="A3215" t="str">
            <v>7300021M</v>
          </cell>
          <cell r="B3215" t="str">
            <v>KS Wippschalter schwarz</v>
          </cell>
          <cell r="C3215">
            <v>0</v>
          </cell>
          <cell r="D3215">
            <v>2.85</v>
          </cell>
        </row>
        <row r="3216">
          <cell r="A3216" t="str">
            <v>7300022M</v>
          </cell>
          <cell r="B3216" t="str">
            <v>Montage-Kit Erdungskabel</v>
          </cell>
          <cell r="C3216">
            <v>0</v>
          </cell>
          <cell r="D3216">
            <v>1.1000000000000001</v>
          </cell>
        </row>
        <row r="3217">
          <cell r="A3217" t="str">
            <v>7300023M</v>
          </cell>
          <cell r="B3217" t="str">
            <v>Leitende Textildichtung 6mm x 6mm</v>
          </cell>
          <cell r="C3217">
            <v>0</v>
          </cell>
          <cell r="D3217">
            <v>0</v>
          </cell>
        </row>
        <row r="3218">
          <cell r="A3218" t="str">
            <v>7300024M</v>
          </cell>
          <cell r="B3218" t="str">
            <v>Leitende Textildichtung 6x6mm, leitend. Kleber</v>
          </cell>
          <cell r="C3218">
            <v>0</v>
          </cell>
          <cell r="D3218">
            <v>0</v>
          </cell>
        </row>
        <row r="3219">
          <cell r="A3219" t="str">
            <v>7300025M</v>
          </cell>
          <cell r="B3219" t="str">
            <v>Einbausatz 2x2.5" in 3.5" Schacht</v>
          </cell>
          <cell r="C3219">
            <v>0</v>
          </cell>
          <cell r="D3219">
            <v>17.920000000000002</v>
          </cell>
        </row>
        <row r="3220">
          <cell r="A3220" t="str">
            <v>7300026M</v>
          </cell>
          <cell r="B3220" t="str">
            <v>Linsenkopfschraube M3x6mm V2A TORX</v>
          </cell>
          <cell r="C3220">
            <v>0</v>
          </cell>
          <cell r="D3220">
            <v>0.03</v>
          </cell>
        </row>
        <row r="3221">
          <cell r="A3221" t="str">
            <v>7300027M</v>
          </cell>
          <cell r="B3221" t="str">
            <v>Sechskantmutter selbstsichernd M4 V2A</v>
          </cell>
          <cell r="C3221">
            <v>0</v>
          </cell>
          <cell r="D3221">
            <v>0.02</v>
          </cell>
        </row>
        <row r="3222">
          <cell r="A3222" t="str">
            <v>7300028M</v>
          </cell>
          <cell r="B3222" t="str">
            <v>Dämmatte 0.4mm optisches Laufwerk KS</v>
          </cell>
          <cell r="C3222">
            <v>0</v>
          </cell>
          <cell r="D3222">
            <v>2.65</v>
          </cell>
        </row>
        <row r="3223">
          <cell r="A3223" t="str">
            <v>7300029M</v>
          </cell>
          <cell r="B3223" t="str">
            <v>Folie selbstklebend silber 30 x 15mm</v>
          </cell>
          <cell r="C3223">
            <v>0</v>
          </cell>
          <cell r="D3223">
            <v>0</v>
          </cell>
        </row>
        <row r="3224">
          <cell r="A3224" t="str">
            <v>7300030M</v>
          </cell>
          <cell r="B3224" t="str">
            <v>PVC Platte, Schablone für AMD</v>
          </cell>
          <cell r="C3224">
            <v>0</v>
          </cell>
          <cell r="D3224">
            <v>30.4</v>
          </cell>
        </row>
        <row r="3225">
          <cell r="A3225" t="str">
            <v>7300031M</v>
          </cell>
          <cell r="B3225" t="str">
            <v>Versandetiketten "nicht stapeln" aus PE</v>
          </cell>
          <cell r="C3225">
            <v>0</v>
          </cell>
          <cell r="D3225">
            <v>0.05</v>
          </cell>
        </row>
        <row r="3226">
          <cell r="A3226" t="str">
            <v>7300032M</v>
          </cell>
          <cell r="B3226" t="str">
            <v>Selbstklebende Folie "Erde Symbol"</v>
          </cell>
          <cell r="C3226">
            <v>0</v>
          </cell>
          <cell r="D3226">
            <v>0.04</v>
          </cell>
        </row>
        <row r="3227">
          <cell r="A3227" t="str">
            <v>7300033M</v>
          </cell>
          <cell r="B3227" t="str">
            <v>selbstkl. Klettband f. Patiententerminal</v>
          </cell>
          <cell r="C3227">
            <v>0</v>
          </cell>
          <cell r="D3227">
            <v>34.11</v>
          </cell>
        </row>
        <row r="3228">
          <cell r="A3228" t="str">
            <v>7300034M</v>
          </cell>
          <cell r="B3228" t="str">
            <v>Miniature Fuse, 5x20 mm, Time-Lag T, L, 250VAC</v>
          </cell>
          <cell r="C3228">
            <v>200</v>
          </cell>
          <cell r="D3228">
            <v>0.25</v>
          </cell>
        </row>
        <row r="3229">
          <cell r="A3229" t="str">
            <v>7300035M</v>
          </cell>
          <cell r="B3229" t="str">
            <v>Dichtung Storz Gehäuse Fronplatte</v>
          </cell>
          <cell r="C3229">
            <v>3187</v>
          </cell>
          <cell r="D3229">
            <v>0.92</v>
          </cell>
        </row>
        <row r="3230">
          <cell r="A3230" t="str">
            <v>7300036M</v>
          </cell>
          <cell r="B3230" t="str">
            <v>Distanzkleber für Taster 11x5x0.225mm</v>
          </cell>
          <cell r="C3230">
            <v>802</v>
          </cell>
          <cell r="D3230">
            <v>0.5</v>
          </cell>
        </row>
        <row r="3231">
          <cell r="A3231" t="str">
            <v>7300037M</v>
          </cell>
          <cell r="B3231" t="str">
            <v>Taster Ein Aus mit Kabel Karl Storz</v>
          </cell>
          <cell r="C3231">
            <v>0</v>
          </cell>
          <cell r="D3231">
            <v>2.85</v>
          </cell>
        </row>
        <row r="3232">
          <cell r="A3232" t="str">
            <v>7300038M</v>
          </cell>
          <cell r="B3232" t="str">
            <v>Linsenkopfschraube DIN 7985 M6 x 10</v>
          </cell>
          <cell r="C3232">
            <v>0</v>
          </cell>
          <cell r="D3232">
            <v>0.05</v>
          </cell>
        </row>
        <row r="3233">
          <cell r="A3233" t="str">
            <v>7300039M</v>
          </cell>
          <cell r="B3233" t="str">
            <v>Flachsteckhülse vollisoliert 6,3mm rot</v>
          </cell>
          <cell r="C3233">
            <v>0</v>
          </cell>
          <cell r="D3233">
            <v>0.23</v>
          </cell>
        </row>
        <row r="3234">
          <cell r="A3234" t="str">
            <v>7300040M</v>
          </cell>
          <cell r="B3234" t="str">
            <v>Steuerlitze LiY 1,0 GR/GE 10M</v>
          </cell>
          <cell r="C3234">
            <v>0</v>
          </cell>
          <cell r="D3234">
            <v>3.1</v>
          </cell>
        </row>
        <row r="3235">
          <cell r="A3235" t="str">
            <v>7300041M</v>
          </cell>
          <cell r="B3235" t="str">
            <v>Schulterschraube M4x0.7 Edelstahl</v>
          </cell>
          <cell r="C3235">
            <v>0</v>
          </cell>
          <cell r="D3235">
            <v>3.36</v>
          </cell>
        </row>
        <row r="3236">
          <cell r="A3236" t="str">
            <v>7300042M</v>
          </cell>
          <cell r="B3236" t="str">
            <v>Schraube Gehäuse PANA.ceia</v>
          </cell>
          <cell r="C3236">
            <v>0</v>
          </cell>
          <cell r="D3236">
            <v>0</v>
          </cell>
        </row>
        <row r="3237">
          <cell r="A3237" t="str">
            <v>7300043M</v>
          </cell>
          <cell r="B3237" t="str">
            <v>Schraube Slot Blech PANA.ceia</v>
          </cell>
          <cell r="C3237">
            <v>0</v>
          </cell>
          <cell r="D3237">
            <v>0</v>
          </cell>
        </row>
        <row r="3238">
          <cell r="A3238" t="str">
            <v>7300044M</v>
          </cell>
          <cell r="B3238" t="str">
            <v>Schraube Laufwerksrahmen PANA.ceia</v>
          </cell>
          <cell r="C3238">
            <v>0</v>
          </cell>
          <cell r="D3238">
            <v>0</v>
          </cell>
        </row>
        <row r="3239">
          <cell r="A3239" t="str">
            <v>7300045M</v>
          </cell>
          <cell r="B3239" t="str">
            <v>Schraube M3x6mm Linse VA Kreuz</v>
          </cell>
          <cell r="C3239">
            <v>1958</v>
          </cell>
          <cell r="D3239">
            <v>0</v>
          </cell>
        </row>
        <row r="3240">
          <cell r="A3240" t="str">
            <v>7300046M</v>
          </cell>
          <cell r="B3240" t="str">
            <v>Schraube Festplatte  PANA.ceia</v>
          </cell>
          <cell r="C3240">
            <v>0</v>
          </cell>
          <cell r="D3240">
            <v>0</v>
          </cell>
        </row>
        <row r="3241">
          <cell r="A3241" t="str">
            <v>7300047M</v>
          </cell>
          <cell r="B3241" t="str">
            <v>ergo Universal Reiniger 9190 500ml</v>
          </cell>
          <cell r="C3241">
            <v>0</v>
          </cell>
          <cell r="D3241">
            <v>8.48</v>
          </cell>
        </row>
        <row r="3242">
          <cell r="A3242" t="str">
            <v>7300048M</v>
          </cell>
          <cell r="B3242" t="str">
            <v>MultiQ Video Decoder</v>
          </cell>
          <cell r="C3242">
            <v>0</v>
          </cell>
          <cell r="D3242">
            <v>560</v>
          </cell>
        </row>
        <row r="3243">
          <cell r="A3243" t="str">
            <v>7300049M</v>
          </cell>
          <cell r="B3243" t="str">
            <v>Dichtung Storz Gehäuse Fronplatte</v>
          </cell>
          <cell r="C3243">
            <v>270</v>
          </cell>
          <cell r="D3243">
            <v>1.1499999999999999</v>
          </cell>
        </row>
        <row r="3244">
          <cell r="A3244" t="str">
            <v>7300050M</v>
          </cell>
          <cell r="B3244" t="str">
            <v>Dicota Schutztasche</v>
          </cell>
          <cell r="C3244">
            <v>0</v>
          </cell>
          <cell r="D3244">
            <v>135</v>
          </cell>
        </row>
        <row r="3245">
          <cell r="A3245" t="str">
            <v>7300051M</v>
          </cell>
          <cell r="B3245" t="str">
            <v>EMV Dichtung I/O Blech DFI SB331-IPM</v>
          </cell>
          <cell r="C3245">
            <v>352</v>
          </cell>
          <cell r="D3245">
            <v>2.95</v>
          </cell>
        </row>
        <row r="3246">
          <cell r="A3246" t="str">
            <v>7300052M</v>
          </cell>
          <cell r="B3246" t="str">
            <v>Aufkleber AMD VOID</v>
          </cell>
          <cell r="C3246">
            <v>24</v>
          </cell>
          <cell r="D3246">
            <v>0.78</v>
          </cell>
        </row>
        <row r="3247">
          <cell r="A3247" t="str">
            <v>7300053M</v>
          </cell>
          <cell r="B3247" t="str">
            <v>Aufkleber KSI "20205520"</v>
          </cell>
          <cell r="C3247">
            <v>0</v>
          </cell>
          <cell r="D3247">
            <v>5.03</v>
          </cell>
        </row>
        <row r="3248">
          <cell r="A3248" t="str">
            <v>7300054M</v>
          </cell>
          <cell r="B3248" t="str">
            <v>Software Kit KSI K70111-00072BB</v>
          </cell>
          <cell r="C3248">
            <v>75</v>
          </cell>
          <cell r="D3248">
            <v>3.97</v>
          </cell>
        </row>
        <row r="3249">
          <cell r="A3249" t="str">
            <v>7300055M</v>
          </cell>
          <cell r="B3249" t="str">
            <v>EMV Dichtung leitfähig AC2 Deckel (1m)</v>
          </cell>
          <cell r="C3249">
            <v>35.5</v>
          </cell>
          <cell r="D3249">
            <v>7.43</v>
          </cell>
        </row>
        <row r="3250">
          <cell r="A3250" t="str">
            <v>7300056M</v>
          </cell>
          <cell r="B3250" t="str">
            <v>GAP-PAD VO Ultra-Soft (10x10x2mm) 1cm²</v>
          </cell>
          <cell r="C3250">
            <v>2275</v>
          </cell>
          <cell r="D3250">
            <v>0.13</v>
          </cell>
        </row>
        <row r="3251">
          <cell r="A3251" t="str">
            <v>7300057M</v>
          </cell>
          <cell r="B3251" t="str">
            <v>Drucktaster, Ø19mm Typ 1241.2802</v>
          </cell>
          <cell r="C3251">
            <v>0</v>
          </cell>
          <cell r="D3251">
            <v>7.6</v>
          </cell>
        </row>
        <row r="3252">
          <cell r="A3252" t="str">
            <v>7300058M</v>
          </cell>
          <cell r="B3252" t="str">
            <v>Zylinderschraube M3x6mm ISK A2 beschichtet</v>
          </cell>
          <cell r="C3252">
            <v>4023</v>
          </cell>
          <cell r="D3252">
            <v>0.01</v>
          </cell>
        </row>
        <row r="3253">
          <cell r="A3253" t="str">
            <v>7300059M</v>
          </cell>
          <cell r="B3253" t="str">
            <v>Aufkleber KST Matrox AVCIO Mainboard</v>
          </cell>
          <cell r="C3253">
            <v>363</v>
          </cell>
          <cell r="D3253">
            <v>0.14000000000000001</v>
          </cell>
        </row>
        <row r="3254">
          <cell r="A3254" t="str">
            <v>7300060M</v>
          </cell>
          <cell r="B3254" t="str">
            <v>Aufkleber KST Matrox AVCIO Daughterboard</v>
          </cell>
          <cell r="C3254">
            <v>367</v>
          </cell>
          <cell r="D3254">
            <v>0.14000000000000001</v>
          </cell>
        </row>
        <row r="3255">
          <cell r="A3255" t="str">
            <v>7300061M</v>
          </cell>
          <cell r="B3255" t="str">
            <v>Aufkleber KST Datapath Datavision E2S</v>
          </cell>
          <cell r="C3255">
            <v>352</v>
          </cell>
          <cell r="D3255">
            <v>0.14000000000000001</v>
          </cell>
        </row>
        <row r="3256">
          <cell r="A3256" t="str">
            <v>7300062M</v>
          </cell>
          <cell r="B3256" t="str">
            <v>Aufkleber "Extended RS232"</v>
          </cell>
          <cell r="C3256">
            <v>372</v>
          </cell>
          <cell r="D3256">
            <v>0.14000000000000001</v>
          </cell>
        </row>
        <row r="3257">
          <cell r="A3257" t="str">
            <v>7300063M</v>
          </cell>
          <cell r="B3257" t="str">
            <v>HistoScanning G2 Driver CD</v>
          </cell>
          <cell r="C3257">
            <v>0</v>
          </cell>
          <cell r="D3257">
            <v>0</v>
          </cell>
        </row>
        <row r="3258">
          <cell r="A3258" t="str">
            <v>7300064M</v>
          </cell>
          <cell r="B3258" t="str">
            <v>Aufkleber "Humidity"</v>
          </cell>
          <cell r="C3258">
            <v>215</v>
          </cell>
          <cell r="D3258">
            <v>0.5</v>
          </cell>
        </row>
        <row r="3259">
          <cell r="A3259" t="str">
            <v>7300065M</v>
          </cell>
          <cell r="B3259" t="str">
            <v>Schraube UNC 6 -32 x 1/2" Verzinkt</v>
          </cell>
          <cell r="C3259">
            <v>256</v>
          </cell>
          <cell r="D3259">
            <v>0</v>
          </cell>
        </row>
        <row r="3260">
          <cell r="A3260" t="str">
            <v>7300066M</v>
          </cell>
          <cell r="B3260" t="str">
            <v>Reinigungsschwamm Kühlrippen AESCU.certus</v>
          </cell>
          <cell r="C3260">
            <v>0</v>
          </cell>
          <cell r="D3260">
            <v>0.56999999999999995</v>
          </cell>
        </row>
        <row r="3261">
          <cell r="A3261" t="str">
            <v>7300067M</v>
          </cell>
          <cell r="B3261" t="str">
            <v>Schraube M3 x 6 VA</v>
          </cell>
          <cell r="C3261">
            <v>6442</v>
          </cell>
          <cell r="D3261">
            <v>0</v>
          </cell>
        </row>
        <row r="3262">
          <cell r="A3262" t="str">
            <v>7300068M</v>
          </cell>
          <cell r="B3262" t="str">
            <v>Sicherungsmutter M3 VA</v>
          </cell>
          <cell r="C3262">
            <v>7312</v>
          </cell>
          <cell r="D3262">
            <v>0</v>
          </cell>
        </row>
        <row r="3263">
          <cell r="A3263" t="str">
            <v>7300069M</v>
          </cell>
          <cell r="B3263" t="str">
            <v>Aufkleber "KARL STORZ OR1 FUSION contro"</v>
          </cell>
          <cell r="C3263">
            <v>0</v>
          </cell>
          <cell r="D3263">
            <v>0.9</v>
          </cell>
        </row>
        <row r="3264">
          <cell r="A3264" t="str">
            <v>7300070M</v>
          </cell>
          <cell r="B3264" t="str">
            <v>Paceblade 240 Series External Battery Charger</v>
          </cell>
          <cell r="C3264">
            <v>0</v>
          </cell>
          <cell r="D3264">
            <v>65</v>
          </cell>
        </row>
        <row r="3265">
          <cell r="A3265" t="str">
            <v>7300071M</v>
          </cell>
          <cell r="B3265" t="str">
            <v>Paceblade 240 Series Ersatzakku 1880 mAh</v>
          </cell>
          <cell r="C3265">
            <v>0</v>
          </cell>
          <cell r="D3265">
            <v>85</v>
          </cell>
        </row>
        <row r="3266">
          <cell r="A3266" t="str">
            <v>7300072M</v>
          </cell>
          <cell r="B3266" t="str">
            <v>Paceblade 240 Series Handfree Bag Vinyl</v>
          </cell>
          <cell r="C3266">
            <v>0</v>
          </cell>
          <cell r="D3266">
            <v>54</v>
          </cell>
        </row>
        <row r="3267">
          <cell r="A3267" t="str">
            <v>7300073M</v>
          </cell>
          <cell r="B3267" t="str">
            <v>Zylinderschraube M3x6mm ISK A2 DIN 912 beschichtet</v>
          </cell>
          <cell r="C3267">
            <v>434</v>
          </cell>
          <cell r="D3267">
            <v>0.01</v>
          </cell>
        </row>
        <row r="3268">
          <cell r="A3268" t="str">
            <v>7300074M</v>
          </cell>
          <cell r="B3268" t="str">
            <v>Cable Prisma LVDS DATA LCD</v>
          </cell>
          <cell r="C3268">
            <v>0</v>
          </cell>
          <cell r="D3268">
            <v>22.49</v>
          </cell>
        </row>
        <row r="3269">
          <cell r="A3269" t="str">
            <v>7300075M</v>
          </cell>
          <cell r="B3269" t="str">
            <v>Software Kit DIACAP</v>
          </cell>
          <cell r="C3269">
            <v>0</v>
          </cell>
          <cell r="D3269">
            <v>0</v>
          </cell>
        </row>
        <row r="3270">
          <cell r="A3270" t="str">
            <v>7300076M</v>
          </cell>
          <cell r="B3270" t="str">
            <v>Aufkleber "Erde allgemein" 15mm</v>
          </cell>
          <cell r="C3270">
            <v>920</v>
          </cell>
          <cell r="D3270">
            <v>0.04</v>
          </cell>
        </row>
        <row r="3271">
          <cell r="A3271" t="str">
            <v>7300077M</v>
          </cell>
          <cell r="B3271" t="str">
            <v>Aufkleber "AMD G1 Frontlabel"</v>
          </cell>
          <cell r="C3271">
            <v>0</v>
          </cell>
          <cell r="D3271">
            <v>0</v>
          </cell>
        </row>
        <row r="3272">
          <cell r="A3272" t="str">
            <v>7300078M</v>
          </cell>
          <cell r="B3272" t="str">
            <v>Schraube M2.3x0.4x10mm Long PAN HD PHLPS SS</v>
          </cell>
          <cell r="C3272">
            <v>1579</v>
          </cell>
          <cell r="D3272">
            <v>0.03</v>
          </cell>
        </row>
        <row r="3273">
          <cell r="A3273" t="str">
            <v>7300079M</v>
          </cell>
          <cell r="B3273" t="str">
            <v>Kabelschuh für Erdungskabel</v>
          </cell>
          <cell r="C3273">
            <v>0</v>
          </cell>
          <cell r="D3273">
            <v>0</v>
          </cell>
        </row>
        <row r="3274">
          <cell r="A3274" t="str">
            <v>7300080M</v>
          </cell>
          <cell r="B3274" t="str">
            <v>Aufkleber "Front AMD G2"</v>
          </cell>
          <cell r="C3274">
            <v>0</v>
          </cell>
          <cell r="D3274">
            <v>2.12</v>
          </cell>
        </row>
        <row r="3275">
          <cell r="A3275" t="str">
            <v>7300081M</v>
          </cell>
          <cell r="B3275" t="str">
            <v>Disk Varistor Standard WE-VD</v>
          </cell>
          <cell r="C3275">
            <v>0</v>
          </cell>
          <cell r="D3275">
            <v>0.1</v>
          </cell>
        </row>
        <row r="3276">
          <cell r="A3276" t="str">
            <v>7300082M</v>
          </cell>
          <cell r="B3276" t="str">
            <v>KIT, SW Install, 070111-0010</v>
          </cell>
          <cell r="C3276">
            <v>0</v>
          </cell>
          <cell r="D3276">
            <v>0</v>
          </cell>
        </row>
        <row r="3277">
          <cell r="A3277" t="str">
            <v>7300083M</v>
          </cell>
          <cell r="B3277" t="str">
            <v>Installation disc inside DVD case, K70111-0010</v>
          </cell>
          <cell r="C3277">
            <v>0</v>
          </cell>
          <cell r="D3277">
            <v>0</v>
          </cell>
        </row>
        <row r="3278">
          <cell r="A3278" t="str">
            <v>7300084M</v>
          </cell>
          <cell r="B3278" t="str">
            <v>Label on exterior of Envelope 034443-1000</v>
          </cell>
          <cell r="C3278">
            <v>23</v>
          </cell>
          <cell r="D3278">
            <v>0</v>
          </cell>
        </row>
        <row r="3279">
          <cell r="A3279" t="str">
            <v>7300085M</v>
          </cell>
          <cell r="B3279" t="str">
            <v>Netzfilter für OMNI.view 21,5"</v>
          </cell>
          <cell r="C3279">
            <v>0</v>
          </cell>
          <cell r="D3279">
            <v>46</v>
          </cell>
        </row>
        <row r="3280">
          <cell r="A3280" t="str">
            <v>7300086M</v>
          </cell>
          <cell r="B3280" t="str">
            <v>Cable Prisma G121/1-L01 30 cm, Switch</v>
          </cell>
          <cell r="C3280">
            <v>97</v>
          </cell>
          <cell r="D3280">
            <v>52.03</v>
          </cell>
        </row>
        <row r="3281">
          <cell r="A3281" t="str">
            <v>7300087M</v>
          </cell>
          <cell r="B3281" t="str">
            <v>Selbstklebende Klarsicht-Tasche</v>
          </cell>
          <cell r="C3281">
            <v>0</v>
          </cell>
          <cell r="D3281">
            <v>0.14000000000000001</v>
          </cell>
        </row>
        <row r="3282">
          <cell r="A3282" t="str">
            <v>7300088M</v>
          </cell>
          <cell r="B3282" t="str">
            <v>Drucktaster mit LED, Ø19mm Typ 1241.2855</v>
          </cell>
          <cell r="C3282">
            <v>1</v>
          </cell>
          <cell r="D3282">
            <v>9.4</v>
          </cell>
        </row>
        <row r="3283">
          <cell r="A3283" t="str">
            <v>7300089M</v>
          </cell>
          <cell r="B3283" t="str">
            <v>Drucktaster, Ø19mm Typ 1241.2801 inkl. 300mm Kabel</v>
          </cell>
          <cell r="C3283">
            <v>115</v>
          </cell>
          <cell r="D3283">
            <v>7.6</v>
          </cell>
        </row>
        <row r="3284">
          <cell r="A3284" t="str">
            <v>7300090M</v>
          </cell>
          <cell r="B3284" t="str">
            <v>Set USB Schloss weiß; 1 Schlüssel, 4 Schlösser</v>
          </cell>
          <cell r="C3284">
            <v>0</v>
          </cell>
          <cell r="D3284">
            <v>10.5</v>
          </cell>
        </row>
        <row r="3285">
          <cell r="A3285" t="str">
            <v>7300091M</v>
          </cell>
          <cell r="B3285" t="str">
            <v>USB Schloss / Abdeckung weiß</v>
          </cell>
          <cell r="C3285">
            <v>0</v>
          </cell>
          <cell r="D3285">
            <v>0.85</v>
          </cell>
        </row>
        <row r="3286">
          <cell r="A3286" t="str">
            <v>7300092M</v>
          </cell>
          <cell r="B3286" t="str">
            <v>Linsenkopfschraube M2x3mm,A2</v>
          </cell>
          <cell r="C3286">
            <v>7665</v>
          </cell>
          <cell r="D3286">
            <v>0.1</v>
          </cell>
        </row>
        <row r="3287">
          <cell r="A3287" t="str">
            <v>7300093M</v>
          </cell>
          <cell r="B3287" t="str">
            <v>Senkschraube M3x4mm,A2</v>
          </cell>
          <cell r="C3287">
            <v>16727</v>
          </cell>
          <cell r="D3287">
            <v>0.08</v>
          </cell>
        </row>
        <row r="3288">
          <cell r="A3288" t="str">
            <v>7300094M</v>
          </cell>
          <cell r="B3288" t="str">
            <v>Rundsteckhülsen Querschnitt 1,5-2,5mm²</v>
          </cell>
          <cell r="C3288">
            <v>10</v>
          </cell>
          <cell r="D3288">
            <v>0.24</v>
          </cell>
        </row>
        <row r="3289">
          <cell r="A3289" t="str">
            <v>7300095M</v>
          </cell>
          <cell r="B3289" t="str">
            <v>Rundstecker Querschnitt 1,5-2,5mm²</v>
          </cell>
          <cell r="C3289">
            <v>10</v>
          </cell>
          <cell r="D3289">
            <v>0.28999999999999998</v>
          </cell>
        </row>
        <row r="3290">
          <cell r="A3290" t="str">
            <v>7300096M</v>
          </cell>
          <cell r="B3290" t="str">
            <v>Label "Gebrauchsanweisung beachten" 20mm</v>
          </cell>
          <cell r="C3290">
            <v>170</v>
          </cell>
          <cell r="D3290">
            <v>0.14000000000000001</v>
          </cell>
        </row>
        <row r="3291">
          <cell r="A3291" t="str">
            <v>7300097M</v>
          </cell>
          <cell r="B3291" t="str">
            <v>Schraube UNC HR100-CRM AESCU.certus²</v>
          </cell>
          <cell r="C3291">
            <v>403</v>
          </cell>
          <cell r="D3291">
            <v>0.19</v>
          </cell>
        </row>
        <row r="3292">
          <cell r="A3292" t="str">
            <v>7300098M</v>
          </cell>
          <cell r="B3292" t="str">
            <v>SanDisk 8GB Compact FlashCard 60/400</v>
          </cell>
          <cell r="C3292">
            <v>24</v>
          </cell>
          <cell r="D3292">
            <v>26.25</v>
          </cell>
        </row>
        <row r="3293">
          <cell r="A3293" t="str">
            <v>7300099M</v>
          </cell>
          <cell r="B3293" t="str">
            <v>Laptop Drape 17" Schutz für Laptop-Tastaturen 3er</v>
          </cell>
          <cell r="C3293">
            <v>0</v>
          </cell>
          <cell r="D3293">
            <v>32.83</v>
          </cell>
        </row>
        <row r="3294">
          <cell r="A3294" t="str">
            <v>7300100M</v>
          </cell>
          <cell r="B3294" t="str">
            <v>Kensington-Schloss USB mit Blockierung</v>
          </cell>
          <cell r="C3294">
            <v>0</v>
          </cell>
          <cell r="D3294">
            <v>11.5</v>
          </cell>
        </row>
        <row r="3295">
          <cell r="A3295" t="str">
            <v>7300101M</v>
          </cell>
          <cell r="B3295" t="str">
            <v>Kabeldurchführung</v>
          </cell>
          <cell r="C3295">
            <v>0</v>
          </cell>
          <cell r="D3295">
            <v>5</v>
          </cell>
        </row>
        <row r="3296">
          <cell r="A3296" t="str">
            <v>7300102M</v>
          </cell>
          <cell r="B3296" t="str">
            <v>Kabeltülle QT 2/5, NR 42570 grau</v>
          </cell>
          <cell r="C3296">
            <v>0</v>
          </cell>
          <cell r="D3296">
            <v>2</v>
          </cell>
        </row>
        <row r="3297">
          <cell r="A3297" t="str">
            <v>7300103M</v>
          </cell>
          <cell r="B3297" t="str">
            <v>Schraubensatz (USV Einbau in Universalblech1)</v>
          </cell>
          <cell r="C3297">
            <v>0</v>
          </cell>
          <cell r="D3297">
            <v>2.5</v>
          </cell>
        </row>
        <row r="3298">
          <cell r="A3298" t="str">
            <v>7300104M</v>
          </cell>
          <cell r="B3298" t="str">
            <v>Software Kit KSI K70111-0011</v>
          </cell>
          <cell r="C3298">
            <v>151</v>
          </cell>
          <cell r="D3298">
            <v>3.75</v>
          </cell>
        </row>
        <row r="3299">
          <cell r="A3299" t="str">
            <v>7300105M</v>
          </cell>
          <cell r="B3299" t="str">
            <v>D-Link ext. Antenne</v>
          </cell>
          <cell r="C3299">
            <v>0</v>
          </cell>
          <cell r="D3299">
            <v>142.56</v>
          </cell>
        </row>
        <row r="3300">
          <cell r="A3300" t="str">
            <v>7300106M</v>
          </cell>
          <cell r="B3300" t="str">
            <v>Linsenkopfschraube Edelstahl  M3x14</v>
          </cell>
          <cell r="C3300">
            <v>997</v>
          </cell>
          <cell r="D3300">
            <v>0.04</v>
          </cell>
        </row>
        <row r="3301">
          <cell r="A3301" t="str">
            <v>7300107M</v>
          </cell>
          <cell r="B3301" t="str">
            <v>Sicherungsmutter Metall für Drucktaster 1241.2801</v>
          </cell>
          <cell r="C3301">
            <v>78</v>
          </cell>
          <cell r="D3301">
            <v>1.79</v>
          </cell>
        </row>
        <row r="3302">
          <cell r="A3302" t="str">
            <v>7300108M</v>
          </cell>
          <cell r="B3302" t="str">
            <v>Schutzgitter für 120mm Gehäuselüfter</v>
          </cell>
          <cell r="C3302">
            <v>7</v>
          </cell>
          <cell r="D3302">
            <v>3.3</v>
          </cell>
        </row>
        <row r="3303">
          <cell r="A3303" t="str">
            <v>7300109M</v>
          </cell>
          <cell r="B3303" t="str">
            <v>Ringöse verz. M4</v>
          </cell>
          <cell r="C3303">
            <v>190</v>
          </cell>
          <cell r="D3303">
            <v>0.12</v>
          </cell>
        </row>
        <row r="3304">
          <cell r="A3304" t="str">
            <v>7300110M</v>
          </cell>
          <cell r="B3304" t="str">
            <v>Flachsteckhülse isoliert 6,3x0,8mm Rot</v>
          </cell>
          <cell r="C3304">
            <v>920</v>
          </cell>
          <cell r="D3304">
            <v>0.18</v>
          </cell>
        </row>
        <row r="3305">
          <cell r="A3305" t="str">
            <v>7300111M</v>
          </cell>
          <cell r="B3305" t="str">
            <v>Aufkleber "AIDA FUSION"</v>
          </cell>
          <cell r="C3305">
            <v>0</v>
          </cell>
          <cell r="D3305">
            <v>0.98</v>
          </cell>
        </row>
        <row r="3306">
          <cell r="A3306" t="str">
            <v>7300112M</v>
          </cell>
          <cell r="B3306" t="str">
            <v>UNC Mutter für UNC Bolzen AESCU.mobilus²</v>
          </cell>
          <cell r="C3306">
            <v>0</v>
          </cell>
          <cell r="D3306">
            <v>0</v>
          </cell>
        </row>
        <row r="3307">
          <cell r="A3307" t="str">
            <v>7300113M</v>
          </cell>
          <cell r="B3307" t="str">
            <v>Blende Netzeingangsbuchse AESCU.mobilus²</v>
          </cell>
          <cell r="C3307">
            <v>0</v>
          </cell>
          <cell r="D3307">
            <v>0</v>
          </cell>
        </row>
        <row r="3308">
          <cell r="A3308" t="str">
            <v>7300114M</v>
          </cell>
          <cell r="B3308" t="str">
            <v>Blindstopfen 8.5x15x6.3 mm, weiß, LDPE</v>
          </cell>
          <cell r="C3308">
            <v>484</v>
          </cell>
          <cell r="D3308">
            <v>0.05</v>
          </cell>
        </row>
        <row r="3309">
          <cell r="A3309" t="str">
            <v>7300115M</v>
          </cell>
          <cell r="B3309" t="str">
            <v>Kabeleinführung KEL-QTA 24/4</v>
          </cell>
          <cell r="C3309">
            <v>46</v>
          </cell>
          <cell r="D3309">
            <v>6.79</v>
          </cell>
        </row>
        <row r="3310">
          <cell r="A3310" t="str">
            <v>7300116M</v>
          </cell>
          <cell r="B3310" t="str">
            <v>Kabeltülle QT 2/3</v>
          </cell>
          <cell r="C3310">
            <v>92</v>
          </cell>
          <cell r="D3310">
            <v>0.92</v>
          </cell>
        </row>
        <row r="3311">
          <cell r="A3311" t="str">
            <v>7300117M</v>
          </cell>
          <cell r="B3311" t="str">
            <v>Kabeltülle QTB</v>
          </cell>
          <cell r="C3311">
            <v>138</v>
          </cell>
          <cell r="D3311">
            <v>0.64</v>
          </cell>
        </row>
        <row r="3312">
          <cell r="A3312" t="str">
            <v>7300118M</v>
          </cell>
          <cell r="B3312" t="str">
            <v>Kabeltülle QT 3</v>
          </cell>
          <cell r="C3312">
            <v>0</v>
          </cell>
          <cell r="D3312">
            <v>0.64</v>
          </cell>
        </row>
        <row r="3313">
          <cell r="A3313" t="str">
            <v>7300119M</v>
          </cell>
          <cell r="B3313" t="str">
            <v>Kabeltülle QT 6</v>
          </cell>
          <cell r="C3313">
            <v>138</v>
          </cell>
          <cell r="D3313">
            <v>0.64</v>
          </cell>
        </row>
        <row r="3314">
          <cell r="A3314" t="str">
            <v>7300120M</v>
          </cell>
          <cell r="B3314" t="str">
            <v>Aufkleber KST Remote Box PP ON, 40x10 mm</v>
          </cell>
          <cell r="C3314">
            <v>312</v>
          </cell>
          <cell r="D3314">
            <v>0.05</v>
          </cell>
        </row>
        <row r="3315">
          <cell r="A3315" t="str">
            <v>7300121M</v>
          </cell>
          <cell r="B3315" t="str">
            <v>Aufkleber KST Remote Box OAL / POWER, 25x7 mm</v>
          </cell>
          <cell r="C3315">
            <v>844</v>
          </cell>
          <cell r="D3315">
            <v>0.02</v>
          </cell>
        </row>
        <row r="3316">
          <cell r="A3316" t="str">
            <v>7300122M</v>
          </cell>
          <cell r="B3316" t="str">
            <v>NTS Nomelscheibe M5</v>
          </cell>
          <cell r="C3316">
            <v>100</v>
          </cell>
          <cell r="D3316">
            <v>0.06</v>
          </cell>
        </row>
        <row r="3317">
          <cell r="A3317" t="str">
            <v>7300123M</v>
          </cell>
          <cell r="B3317" t="str">
            <v>Software Kit KSI K70111-0012</v>
          </cell>
          <cell r="C3317">
            <v>0</v>
          </cell>
          <cell r="D3317">
            <v>0</v>
          </cell>
        </row>
        <row r="3318">
          <cell r="A3318" t="str">
            <v>7400001M</v>
          </cell>
          <cell r="B3318" t="str">
            <v>DB9 FEMALE RS232 LOOPBACK CONNECTOR</v>
          </cell>
          <cell r="C3318">
            <v>0</v>
          </cell>
          <cell r="D3318">
            <v>16</v>
          </cell>
        </row>
        <row r="3319">
          <cell r="A3319">
            <v>789</v>
          </cell>
          <cell r="B3319" t="str">
            <v>TS Pickupserv. und Garantie 36 Monate f THINCLIENT</v>
          </cell>
          <cell r="C3319">
            <v>0</v>
          </cell>
          <cell r="D3319">
            <v>10</v>
          </cell>
        </row>
        <row r="3320">
          <cell r="A3320">
            <v>8000012</v>
          </cell>
          <cell r="B3320" t="str">
            <v>Framegrabber Falcon PCI</v>
          </cell>
          <cell r="C3320">
            <v>0</v>
          </cell>
          <cell r="D3320">
            <v>193</v>
          </cell>
        </row>
        <row r="3321">
          <cell r="A3321">
            <v>8000014</v>
          </cell>
          <cell r="B3321" t="str">
            <v>Falcon PCI Frame Grabber Low-Profile Karte MPG</v>
          </cell>
          <cell r="C3321">
            <v>0</v>
          </cell>
          <cell r="D3321">
            <v>199</v>
          </cell>
        </row>
        <row r="3322">
          <cell r="A3322" t="str">
            <v>8110030M</v>
          </cell>
          <cell r="B3322" t="str">
            <v>Baukosten</v>
          </cell>
          <cell r="C3322">
            <v>0</v>
          </cell>
          <cell r="D3322">
            <v>30</v>
          </cell>
        </row>
        <row r="3323">
          <cell r="A3323" t="str">
            <v>8110045M</v>
          </cell>
          <cell r="B3323" t="str">
            <v>Baukosten</v>
          </cell>
          <cell r="C3323">
            <v>0</v>
          </cell>
          <cell r="D3323">
            <v>45</v>
          </cell>
        </row>
        <row r="3324">
          <cell r="A3324" t="str">
            <v>8110070M</v>
          </cell>
          <cell r="B3324" t="str">
            <v>Baukosten</v>
          </cell>
          <cell r="C3324">
            <v>-4647</v>
          </cell>
          <cell r="D3324">
            <v>70</v>
          </cell>
        </row>
        <row r="3325">
          <cell r="A3325" t="str">
            <v>8110085M</v>
          </cell>
          <cell r="B3325" t="str">
            <v>Baukosten</v>
          </cell>
          <cell r="C3325">
            <v>-211</v>
          </cell>
          <cell r="D3325">
            <v>85</v>
          </cell>
        </row>
        <row r="3326">
          <cell r="A3326" t="str">
            <v>8110191M</v>
          </cell>
          <cell r="B3326" t="str">
            <v>Baukosten Holthausen THA.leia</v>
          </cell>
          <cell r="C3326">
            <v>-5</v>
          </cell>
          <cell r="D3326">
            <v>191.3</v>
          </cell>
        </row>
        <row r="3327">
          <cell r="A3327" t="str">
            <v>8110250M</v>
          </cell>
          <cell r="B3327" t="str">
            <v>Baukosten</v>
          </cell>
          <cell r="C3327">
            <v>0</v>
          </cell>
          <cell r="D3327">
            <v>250</v>
          </cell>
        </row>
        <row r="3328">
          <cell r="A3328" t="str">
            <v>8110335M</v>
          </cell>
          <cell r="B3328" t="str">
            <v>Baukosten</v>
          </cell>
          <cell r="C3328">
            <v>-2083</v>
          </cell>
          <cell r="D3328">
            <v>335</v>
          </cell>
        </row>
        <row r="3329">
          <cell r="A3329" t="str">
            <v>8120001M</v>
          </cell>
          <cell r="B3329" t="str">
            <v>IMAGE KSI AIDA HD CONNECT 070111-0009BL</v>
          </cell>
          <cell r="C3329">
            <v>-1</v>
          </cell>
          <cell r="D3329">
            <v>0</v>
          </cell>
        </row>
        <row r="3330">
          <cell r="A3330" t="str">
            <v>8120002M</v>
          </cell>
          <cell r="B3330" t="str">
            <v>Formatierung Festplatte (S0 Kill)</v>
          </cell>
          <cell r="C3330">
            <v>-109</v>
          </cell>
          <cell r="D3330">
            <v>0</v>
          </cell>
        </row>
        <row r="3331">
          <cell r="A3331" t="str">
            <v>8120003M</v>
          </cell>
          <cell r="B3331" t="str">
            <v>IMAGE KST OR1 Fusion RC10</v>
          </cell>
          <cell r="C3331">
            <v>-26</v>
          </cell>
          <cell r="D3331">
            <v>0</v>
          </cell>
        </row>
        <row r="3332">
          <cell r="A3332" t="str">
            <v>8120004M</v>
          </cell>
          <cell r="B3332" t="str">
            <v>IMAGE KST OR1 Fusion RC12</v>
          </cell>
          <cell r="C3332">
            <v>-70</v>
          </cell>
          <cell r="D3332">
            <v>0</v>
          </cell>
        </row>
        <row r="3333">
          <cell r="A3333" t="str">
            <v>8120005M</v>
          </cell>
          <cell r="B3333" t="str">
            <v>BIOS VERSION  KST OR1 Fusion 4.6.4.1</v>
          </cell>
          <cell r="C3333">
            <v>-84</v>
          </cell>
          <cell r="D3333">
            <v>0</v>
          </cell>
        </row>
        <row r="3334">
          <cell r="A3334" t="str">
            <v>8120010M</v>
          </cell>
          <cell r="B3334" t="str">
            <v>IMAGE KSI AIDA HD CONNECT 070111-0010</v>
          </cell>
          <cell r="C3334">
            <v>-519</v>
          </cell>
          <cell r="D3334">
            <v>0</v>
          </cell>
        </row>
        <row r="3335">
          <cell r="A3335" t="str">
            <v>8120011M</v>
          </cell>
          <cell r="B3335" t="str">
            <v>Test image HistoScanning G2 TEST_W7_BOM2_R3</v>
          </cell>
          <cell r="C3335">
            <v>-17</v>
          </cell>
          <cell r="D3335">
            <v>0</v>
          </cell>
        </row>
        <row r="3336">
          <cell r="A3336" t="str">
            <v>8120012M</v>
          </cell>
          <cell r="B3336" t="str">
            <v>Software image HistoScanning G2 HS_3.0_W7_BOM2_R7</v>
          </cell>
          <cell r="C3336">
            <v>-11</v>
          </cell>
          <cell r="D3336">
            <v>0</v>
          </cell>
        </row>
        <row r="3337">
          <cell r="A3337" t="str">
            <v>8120013M</v>
          </cell>
          <cell r="B3337" t="str">
            <v>IMAGE KSI AIDA HD CONNECT 070111-0011BH</v>
          </cell>
          <cell r="C3337">
            <v>-627</v>
          </cell>
          <cell r="D3337">
            <v>0</v>
          </cell>
        </row>
        <row r="3338">
          <cell r="A3338" t="str">
            <v>8120014M</v>
          </cell>
          <cell r="B3338" t="str">
            <v>Software image HistoScanning G2 HS_3.0_W7_BOM2_R12</v>
          </cell>
          <cell r="C3338">
            <v>-14</v>
          </cell>
          <cell r="D3338">
            <v>0</v>
          </cell>
        </row>
        <row r="3339">
          <cell r="A3339" t="str">
            <v>8130000M</v>
          </cell>
          <cell r="B3339" t="str">
            <v>HistoScanning G2 GUI Dutch</v>
          </cell>
          <cell r="C3339">
            <v>0</v>
          </cell>
          <cell r="D3339">
            <v>0</v>
          </cell>
        </row>
        <row r="3340">
          <cell r="A3340" t="str">
            <v>8130001M</v>
          </cell>
          <cell r="B3340" t="str">
            <v>HistoScanning G2 GUI German</v>
          </cell>
          <cell r="C3340">
            <v>-3</v>
          </cell>
          <cell r="D3340">
            <v>0</v>
          </cell>
        </row>
        <row r="3341">
          <cell r="A3341" t="str">
            <v>8130002M</v>
          </cell>
          <cell r="B3341" t="str">
            <v>HistoScanning G2 GUI English</v>
          </cell>
          <cell r="C3341">
            <v>-14</v>
          </cell>
          <cell r="D3341">
            <v>0</v>
          </cell>
        </row>
        <row r="3342">
          <cell r="A3342" t="str">
            <v>8130003M</v>
          </cell>
          <cell r="B3342" t="str">
            <v>HistoScanning G2 GUI Italian</v>
          </cell>
          <cell r="C3342">
            <v>0</v>
          </cell>
          <cell r="D3342">
            <v>0</v>
          </cell>
        </row>
        <row r="3343">
          <cell r="A3343" t="str">
            <v>8130004M</v>
          </cell>
          <cell r="B3343" t="str">
            <v>HistoScanning G2 GUI French</v>
          </cell>
          <cell r="C3343">
            <v>0</v>
          </cell>
          <cell r="D3343">
            <v>0</v>
          </cell>
        </row>
        <row r="3344">
          <cell r="A3344" t="str">
            <v>8130005M</v>
          </cell>
          <cell r="B3344" t="str">
            <v>HistoScanning G2 GUI Spanish</v>
          </cell>
          <cell r="C3344">
            <v>0</v>
          </cell>
          <cell r="D3344">
            <v>0</v>
          </cell>
        </row>
        <row r="3345">
          <cell r="A3345" t="str">
            <v>8190001M</v>
          </cell>
          <cell r="B3345" t="str">
            <v>Abgaben und Gebühren</v>
          </cell>
          <cell r="C3345">
            <v>-216</v>
          </cell>
          <cell r="D3345">
            <v>38</v>
          </cell>
        </row>
        <row r="3346">
          <cell r="A3346" t="str">
            <v>8200001M</v>
          </cell>
          <cell r="B3346" t="str">
            <v>Assembly- / Montagekosten</v>
          </cell>
          <cell r="C3346">
            <v>41</v>
          </cell>
          <cell r="D3346">
            <v>10</v>
          </cell>
        </row>
        <row r="3347">
          <cell r="A3347" t="str">
            <v>8200002M</v>
          </cell>
          <cell r="B3347" t="str">
            <v>Kostenvoranschlag Pauschale</v>
          </cell>
          <cell r="C3347">
            <v>-1</v>
          </cell>
          <cell r="D3347">
            <v>65</v>
          </cell>
        </row>
        <row r="3348">
          <cell r="A3348" t="str">
            <v>8200003M</v>
          </cell>
          <cell r="B3348" t="str">
            <v>Verpackungsprüfung nach ISTA 3A</v>
          </cell>
          <cell r="C3348">
            <v>0</v>
          </cell>
          <cell r="D3348">
            <v>2350</v>
          </cell>
        </row>
        <row r="3349">
          <cell r="A3349" t="str">
            <v>8210001M</v>
          </cell>
          <cell r="B3349" t="str">
            <v>Zertifizierung EMV nach IEC/EN60601-1-2</v>
          </cell>
          <cell r="C3349">
            <v>-1</v>
          </cell>
          <cell r="D3349">
            <v>210</v>
          </cell>
        </row>
        <row r="3350">
          <cell r="A3350" t="str">
            <v>8210002M</v>
          </cell>
          <cell r="B3350" t="str">
            <v>Zertifizierung Safety nach IEC/EN60601-1</v>
          </cell>
          <cell r="C3350">
            <v>-1</v>
          </cell>
          <cell r="D3350">
            <v>0</v>
          </cell>
        </row>
        <row r="3351">
          <cell r="A3351" t="str">
            <v>8220001M</v>
          </cell>
          <cell r="B3351" t="str">
            <v>Filmerstellung</v>
          </cell>
          <cell r="C3351">
            <v>5</v>
          </cell>
          <cell r="D3351">
            <v>75</v>
          </cell>
        </row>
        <row r="3352">
          <cell r="A3352" t="str">
            <v>8220002M</v>
          </cell>
          <cell r="B3352" t="str">
            <v>Zeichnungserstellung</v>
          </cell>
          <cell r="C3352">
            <v>7</v>
          </cell>
          <cell r="D3352">
            <v>240</v>
          </cell>
        </row>
        <row r="3353">
          <cell r="A3353" t="str">
            <v>8220003M</v>
          </cell>
          <cell r="B3353" t="str">
            <v>Anpassung Risercard</v>
          </cell>
          <cell r="C3353">
            <v>1</v>
          </cell>
          <cell r="D3353">
            <v>160</v>
          </cell>
        </row>
        <row r="3354">
          <cell r="A3354" t="str">
            <v>8220004M</v>
          </cell>
          <cell r="B3354" t="str">
            <v>Aufkleber "HistoScanning 3D"</v>
          </cell>
          <cell r="C3354">
            <v>0</v>
          </cell>
          <cell r="D3354">
            <v>1.5</v>
          </cell>
        </row>
        <row r="3355">
          <cell r="A3355" t="str">
            <v>8220005M</v>
          </cell>
          <cell r="B3355" t="str">
            <v>Wagner - 3D Doming Aufkleber, 80x21</v>
          </cell>
          <cell r="C3355">
            <v>0</v>
          </cell>
          <cell r="D3355">
            <v>0.85</v>
          </cell>
        </row>
        <row r="3356">
          <cell r="A3356" t="str">
            <v>8220006M</v>
          </cell>
          <cell r="B3356" t="str">
            <v>MCD Vision Line Aufkleber, 200x46 mm</v>
          </cell>
          <cell r="C3356">
            <v>0</v>
          </cell>
          <cell r="D3356">
            <v>10.8</v>
          </cell>
        </row>
        <row r="3357">
          <cell r="A3357" t="str">
            <v>8220007M</v>
          </cell>
          <cell r="B3357" t="str">
            <v>Einmalkosten Fertigung</v>
          </cell>
          <cell r="C3357">
            <v>713</v>
          </cell>
          <cell r="D3357">
            <v>191.3</v>
          </cell>
        </row>
        <row r="3358">
          <cell r="A3358">
            <v>9104206</v>
          </cell>
          <cell r="B3358" t="str">
            <v>T MS Mouse  Compact Optical 500 USB BLACK ***</v>
          </cell>
          <cell r="C3358">
            <v>0</v>
          </cell>
          <cell r="D3358">
            <v>4.9000000000000004</v>
          </cell>
        </row>
        <row r="3359">
          <cell r="A3359">
            <v>9400012</v>
          </cell>
          <cell r="B3359" t="str">
            <v>Verpackung PC MCD</v>
          </cell>
          <cell r="C3359">
            <v>195</v>
          </cell>
          <cell r="D3359">
            <v>2.5</v>
          </cell>
        </row>
        <row r="3360">
          <cell r="A3360">
            <v>9400015</v>
          </cell>
          <cell r="B3360" t="str">
            <v>VERPACKUNG / STORZ KSI / SHIPPINGBOX</v>
          </cell>
          <cell r="C3360">
            <v>0</v>
          </cell>
          <cell r="D3360">
            <v>19.57</v>
          </cell>
        </row>
        <row r="3361">
          <cell r="A3361">
            <v>9400016</v>
          </cell>
          <cell r="B3361" t="str">
            <v>Verpackung Produkt KSI</v>
          </cell>
          <cell r="C3361">
            <v>536</v>
          </cell>
          <cell r="D3361">
            <v>4.9400000000000004</v>
          </cell>
        </row>
        <row r="3362">
          <cell r="A3362">
            <v>9400017</v>
          </cell>
          <cell r="B3362" t="str">
            <v>Verpackung Zubehör KSI</v>
          </cell>
          <cell r="C3362">
            <v>406</v>
          </cell>
          <cell r="D3362">
            <v>3.31</v>
          </cell>
        </row>
        <row r="3363">
          <cell r="A3363">
            <v>9400018</v>
          </cell>
          <cell r="B3363" t="str">
            <v>Verpackung Zubehör Trenner KSI</v>
          </cell>
          <cell r="C3363">
            <v>498</v>
          </cell>
          <cell r="D3363">
            <v>0.5</v>
          </cell>
        </row>
        <row r="3364">
          <cell r="A3364">
            <v>9400019</v>
          </cell>
          <cell r="B3364" t="str">
            <v>Verpackung Polsterelemente KST/KSI</v>
          </cell>
          <cell r="C3364">
            <v>3580</v>
          </cell>
          <cell r="D3364">
            <v>1</v>
          </cell>
        </row>
        <row r="3365">
          <cell r="A3365">
            <v>9400020</v>
          </cell>
          <cell r="B3365" t="str">
            <v>Verpackung Produkt KST</v>
          </cell>
          <cell r="C3365">
            <v>354</v>
          </cell>
          <cell r="D3365">
            <v>3.65</v>
          </cell>
        </row>
        <row r="3366">
          <cell r="A3366">
            <v>9400021</v>
          </cell>
          <cell r="B3366" t="str">
            <v>Verpackung Zubehör KST</v>
          </cell>
          <cell r="C3366">
            <v>1045</v>
          </cell>
          <cell r="D3366">
            <v>7</v>
          </cell>
        </row>
        <row r="3367">
          <cell r="A3367">
            <v>9400026</v>
          </cell>
          <cell r="B3367" t="str">
            <v>Verpackung Shipping KSI</v>
          </cell>
          <cell r="C3367">
            <v>499</v>
          </cell>
          <cell r="D3367">
            <v>5</v>
          </cell>
        </row>
        <row r="3368">
          <cell r="A3368">
            <v>9400027</v>
          </cell>
          <cell r="B3368" t="str">
            <v>Verpackung Membranversion</v>
          </cell>
          <cell r="C3368">
            <v>102</v>
          </cell>
          <cell r="D3368">
            <v>19</v>
          </cell>
        </row>
        <row r="3369">
          <cell r="A3369">
            <v>9400031</v>
          </cell>
          <cell r="B3369" t="str">
            <v>Verpackung KST PE-Höhenausgleich</v>
          </cell>
          <cell r="C3369">
            <v>0</v>
          </cell>
          <cell r="D3369">
            <v>2.25</v>
          </cell>
        </row>
        <row r="3370">
          <cell r="A3370">
            <v>9400033</v>
          </cell>
          <cell r="B3370" t="str">
            <v>Verpackung KST PE-Stanzriegel</v>
          </cell>
          <cell r="C3370">
            <v>42</v>
          </cell>
          <cell r="D3370">
            <v>1.45</v>
          </cell>
        </row>
        <row r="3371">
          <cell r="A3371">
            <v>9820001</v>
          </cell>
          <cell r="B3371" t="str">
            <v>Tulip Chicony Keyb. KB-3926 PS/2 France, RAL 7035</v>
          </cell>
          <cell r="C3371">
            <v>0</v>
          </cell>
          <cell r="D3371">
            <v>11.5</v>
          </cell>
        </row>
        <row r="3372">
          <cell r="A3372">
            <v>9820033</v>
          </cell>
          <cell r="B3372" t="str">
            <v>Tulip KEYBOARD&amp;MOUSE UK BLACK WL</v>
          </cell>
          <cell r="C3372">
            <v>0</v>
          </cell>
          <cell r="D3372">
            <v>12</v>
          </cell>
        </row>
        <row r="3373">
          <cell r="A3373">
            <v>9820058</v>
          </cell>
          <cell r="B3373" t="str">
            <v>PS2 Stromversorgungs PCB V1.0</v>
          </cell>
          <cell r="C3373">
            <v>150</v>
          </cell>
          <cell r="D3373">
            <v>21.23</v>
          </cell>
        </row>
        <row r="3374">
          <cell r="A3374">
            <v>9820059</v>
          </cell>
          <cell r="B3374" t="str">
            <v>Chicony Keyboard KU-2976 USB britisch BLACK</v>
          </cell>
          <cell r="C3374">
            <v>0</v>
          </cell>
          <cell r="D3374">
            <v>6</v>
          </cell>
        </row>
        <row r="3375">
          <cell r="A3375">
            <v>9820065</v>
          </cell>
          <cell r="B3375" t="str">
            <v>PCB Storz Power ON/OFF</v>
          </cell>
          <cell r="C3375">
            <v>0</v>
          </cell>
          <cell r="D3375">
            <v>16.75</v>
          </cell>
        </row>
        <row r="3376">
          <cell r="A3376">
            <v>9820066</v>
          </cell>
          <cell r="B3376" t="str">
            <v>Customized RS232/POWER Port inkl. Kabel</v>
          </cell>
          <cell r="C3376">
            <v>316</v>
          </cell>
          <cell r="D3376">
            <v>9.3699999999999992</v>
          </cell>
        </row>
        <row r="3377">
          <cell r="A3377">
            <v>9820067</v>
          </cell>
          <cell r="B3377" t="str">
            <v>Karte GPIO</v>
          </cell>
          <cell r="C3377">
            <v>266</v>
          </cell>
          <cell r="D3377">
            <v>40.07</v>
          </cell>
        </row>
        <row r="3378">
          <cell r="A3378">
            <v>9822000</v>
          </cell>
          <cell r="B3378" t="str">
            <v xml:space="preserve"> Tulip Mouse HI-RES Scroller PS2 (M-S69)***</v>
          </cell>
          <cell r="C3378">
            <v>0</v>
          </cell>
          <cell r="D3378">
            <v>1.5</v>
          </cell>
        </row>
        <row r="3379">
          <cell r="A3379">
            <v>9824100</v>
          </cell>
          <cell r="B3379" t="str">
            <v>STORZ AIDA HD Smartscreen</v>
          </cell>
          <cell r="C3379">
            <v>0</v>
          </cell>
          <cell r="D3379">
            <v>1895</v>
          </cell>
        </row>
        <row r="3380">
          <cell r="A3380">
            <v>9824103</v>
          </cell>
          <cell r="B3380" t="str">
            <v>KARL STORZ AIDA HD SmartScreen</v>
          </cell>
          <cell r="C3380">
            <v>0</v>
          </cell>
          <cell r="D3380">
            <v>1310.91</v>
          </cell>
        </row>
        <row r="3381">
          <cell r="A3381">
            <v>9824104</v>
          </cell>
          <cell r="B3381" t="str">
            <v>AIDA HD Connect DVD DC</v>
          </cell>
          <cell r="C3381">
            <v>0</v>
          </cell>
          <cell r="D3381">
            <v>4979.49</v>
          </cell>
        </row>
        <row r="3382">
          <cell r="A3382">
            <v>9824105</v>
          </cell>
          <cell r="B3382" t="str">
            <v>KARL STORZ AIDA Fusion</v>
          </cell>
          <cell r="C3382">
            <v>1</v>
          </cell>
          <cell r="D3382">
            <v>2400</v>
          </cell>
        </row>
        <row r="3383">
          <cell r="A3383">
            <v>9824202</v>
          </cell>
          <cell r="B3383" t="str">
            <v>Cabinet Latch Touch-Door</v>
          </cell>
          <cell r="C3383">
            <v>2</v>
          </cell>
          <cell r="D3383">
            <v>3.94</v>
          </cell>
        </row>
        <row r="3384">
          <cell r="A3384">
            <v>9824203</v>
          </cell>
          <cell r="B3384" t="str">
            <v>KIT 12.1" Display Touch Screen W / Controller</v>
          </cell>
          <cell r="C3384">
            <v>3</v>
          </cell>
          <cell r="D3384">
            <v>310.23</v>
          </cell>
        </row>
        <row r="3385">
          <cell r="A3385">
            <v>9824303</v>
          </cell>
          <cell r="B3385" t="str">
            <v>PWB Touch Screen Controller</v>
          </cell>
          <cell r="C3385">
            <v>109</v>
          </cell>
          <cell r="D3385">
            <v>21.98</v>
          </cell>
        </row>
        <row r="3386">
          <cell r="A3386">
            <v>9824304</v>
          </cell>
          <cell r="B3386" t="str">
            <v>PWB Prisma ECO</v>
          </cell>
          <cell r="C3386">
            <v>3</v>
          </cell>
          <cell r="D3386">
            <v>49.37</v>
          </cell>
        </row>
        <row r="3387">
          <cell r="A3387">
            <v>9824305</v>
          </cell>
          <cell r="B3387" t="str">
            <v>PWB Zippy Inverter</v>
          </cell>
          <cell r="C3387">
            <v>4</v>
          </cell>
          <cell r="D3387">
            <v>32.74</v>
          </cell>
        </row>
        <row r="3388">
          <cell r="A3388">
            <v>9824400</v>
          </cell>
          <cell r="B3388" t="str">
            <v>Cable Prisma ECO LVDS</v>
          </cell>
          <cell r="C3388">
            <v>2</v>
          </cell>
          <cell r="D3388">
            <v>19.149999999999999</v>
          </cell>
        </row>
        <row r="3389">
          <cell r="A3389">
            <v>9824401</v>
          </cell>
          <cell r="B3389" t="str">
            <v>Cable Extension Inverter</v>
          </cell>
          <cell r="C3389">
            <v>2</v>
          </cell>
          <cell r="D3389">
            <v>19.149999999999999</v>
          </cell>
        </row>
        <row r="3390">
          <cell r="A3390">
            <v>9824402</v>
          </cell>
          <cell r="B3390" t="str">
            <v>Cable Inverter Input with Switch</v>
          </cell>
          <cell r="C3390">
            <v>2</v>
          </cell>
          <cell r="D3390">
            <v>19.149999999999999</v>
          </cell>
        </row>
        <row r="3391">
          <cell r="A3391">
            <v>9824403</v>
          </cell>
          <cell r="B3391" t="str">
            <v>STORZ HD Cable DVI/RS232 External</v>
          </cell>
          <cell r="C3391">
            <v>0</v>
          </cell>
          <cell r="D3391">
            <v>0</v>
          </cell>
        </row>
        <row r="3392">
          <cell r="A3392">
            <v>9824404</v>
          </cell>
          <cell r="B3392" t="str">
            <v>Cable Control To Rear PNL AIDA-HD connect</v>
          </cell>
          <cell r="C3392">
            <v>2</v>
          </cell>
          <cell r="D3392">
            <v>94.74</v>
          </cell>
        </row>
        <row r="3393">
          <cell r="A3393">
            <v>9824405</v>
          </cell>
          <cell r="B3393" t="str">
            <v>Cable Guide E-Z Chain Z06-10 19</v>
          </cell>
          <cell r="C3393">
            <v>585</v>
          </cell>
          <cell r="D3393">
            <v>5.94</v>
          </cell>
        </row>
        <row r="3394">
          <cell r="A3394">
            <v>9824406</v>
          </cell>
          <cell r="B3394" t="str">
            <v>Bracket For E-Z Chain Set Of 2Pcs</v>
          </cell>
          <cell r="C3394">
            <v>589</v>
          </cell>
          <cell r="D3394">
            <v>2.77</v>
          </cell>
        </row>
        <row r="3395">
          <cell r="A3395">
            <v>9824407</v>
          </cell>
          <cell r="B3395" t="str">
            <v>Erdungskabel (Set)</v>
          </cell>
          <cell r="C3395">
            <v>861</v>
          </cell>
          <cell r="D3395">
            <v>3.98</v>
          </cell>
        </row>
        <row r="3396">
          <cell r="A3396">
            <v>9824408</v>
          </cell>
          <cell r="B3396" t="str">
            <v>Cable SDI (HD SDI) (3G SDI) 3 Meter</v>
          </cell>
          <cell r="C3396">
            <v>0</v>
          </cell>
          <cell r="D3396">
            <v>13.53</v>
          </cell>
        </row>
        <row r="3397">
          <cell r="A3397">
            <v>9824409</v>
          </cell>
          <cell r="B3397" t="str">
            <v>Cable S-Video M-M 2 Meter</v>
          </cell>
          <cell r="C3397">
            <v>520</v>
          </cell>
          <cell r="D3397">
            <v>0.59</v>
          </cell>
        </row>
        <row r="3398">
          <cell r="A3398">
            <v>9824410</v>
          </cell>
          <cell r="B3398" t="str">
            <v>Cable BNC RG59 M-M 2 Meter</v>
          </cell>
          <cell r="C3398">
            <v>426</v>
          </cell>
          <cell r="D3398">
            <v>2.5299999999999998</v>
          </cell>
        </row>
        <row r="3399">
          <cell r="A3399">
            <v>9824411</v>
          </cell>
          <cell r="B3399" t="str">
            <v>Adapter BNC Plug to Phone Jack</v>
          </cell>
          <cell r="C3399">
            <v>362</v>
          </cell>
          <cell r="D3399">
            <v>1.44</v>
          </cell>
        </row>
        <row r="3400">
          <cell r="A3400">
            <v>9824412</v>
          </cell>
          <cell r="B3400" t="str">
            <v>Cable DVI 18+1 M-M 3 Meter</v>
          </cell>
          <cell r="C3400">
            <v>390</v>
          </cell>
          <cell r="D3400">
            <v>3.72</v>
          </cell>
        </row>
        <row r="3401">
          <cell r="A3401">
            <v>9824413</v>
          </cell>
          <cell r="B3401" t="str">
            <v>Aufkleber Achtung CMOS Batterie 8mm</v>
          </cell>
          <cell r="C3401">
            <v>2167</v>
          </cell>
          <cell r="D3401">
            <v>0.11</v>
          </cell>
        </row>
        <row r="3402">
          <cell r="A3402">
            <v>9824415</v>
          </cell>
          <cell r="B3402" t="str">
            <v>Cable Power Cord Hospital Grade 110V 1.8 Meter</v>
          </cell>
          <cell r="C3402">
            <v>611</v>
          </cell>
          <cell r="D3402">
            <v>2.89</v>
          </cell>
        </row>
        <row r="3403">
          <cell r="A3403">
            <v>9824417</v>
          </cell>
          <cell r="B3403" t="str">
            <v>Schalter Ein/Aus mit 2 Kabeln Verlötet</v>
          </cell>
          <cell r="C3403">
            <v>840</v>
          </cell>
          <cell r="D3403">
            <v>2.65</v>
          </cell>
        </row>
        <row r="3404">
          <cell r="A3404">
            <v>9824418</v>
          </cell>
          <cell r="B3404" t="str">
            <v>Schalter Ein/Aus mit 2 Kabeln Gesteckt</v>
          </cell>
          <cell r="C3404">
            <v>0</v>
          </cell>
          <cell r="D3404">
            <v>2.78</v>
          </cell>
        </row>
        <row r="3405">
          <cell r="A3405">
            <v>9824419</v>
          </cell>
          <cell r="B3405" t="str">
            <v>Lumberg Schutzkappe f.RJ45 weiß</v>
          </cell>
          <cell r="C3405">
            <v>1135</v>
          </cell>
          <cell r="D3405">
            <v>0.26</v>
          </cell>
        </row>
        <row r="3406">
          <cell r="A3406">
            <v>9824420</v>
          </cell>
          <cell r="B3406" t="str">
            <v>Cable DVI/RS232 AIDA HD connect External</v>
          </cell>
          <cell r="C3406">
            <v>570</v>
          </cell>
          <cell r="D3406">
            <v>99.15</v>
          </cell>
        </row>
        <row r="3407">
          <cell r="A3407">
            <v>9824421</v>
          </cell>
          <cell r="B3407" t="str">
            <v>Staubschutzkappe HDMI</v>
          </cell>
          <cell r="C3407">
            <v>601</v>
          </cell>
          <cell r="D3407">
            <v>0.08</v>
          </cell>
        </row>
        <row r="3408">
          <cell r="A3408">
            <v>9824422</v>
          </cell>
          <cell r="B3408" t="str">
            <v>Kabel Audio Splitter</v>
          </cell>
          <cell r="C3408">
            <v>43</v>
          </cell>
          <cell r="D3408">
            <v>0.97</v>
          </cell>
        </row>
        <row r="3409">
          <cell r="A3409">
            <v>9824425</v>
          </cell>
          <cell r="B3409" t="str">
            <v>Staubschutz VGA</v>
          </cell>
          <cell r="C3409">
            <v>919</v>
          </cell>
          <cell r="D3409">
            <v>7.0000000000000007E-2</v>
          </cell>
        </row>
        <row r="3410">
          <cell r="A3410">
            <v>9824426</v>
          </cell>
          <cell r="B3410" t="str">
            <v>Staubschutz AUDIO</v>
          </cell>
          <cell r="C3410">
            <v>194</v>
          </cell>
          <cell r="D3410">
            <v>0.1</v>
          </cell>
        </row>
        <row r="3411">
          <cell r="A3411">
            <v>9824427</v>
          </cell>
          <cell r="B3411" t="str">
            <v>Palette KST 120x100x15.5 cm</v>
          </cell>
          <cell r="C3411">
            <v>19</v>
          </cell>
          <cell r="D3411">
            <v>8.99</v>
          </cell>
        </row>
        <row r="3412">
          <cell r="A3412">
            <v>9824500</v>
          </cell>
          <cell r="B3412" t="str">
            <v>Schraube Schulter M4xX0.7DIA. 4.987x5.01LG</v>
          </cell>
          <cell r="C3412">
            <v>1988</v>
          </cell>
          <cell r="D3412">
            <v>2.15</v>
          </cell>
        </row>
        <row r="3413">
          <cell r="A3413">
            <v>9824502</v>
          </cell>
          <cell r="B3413" t="str">
            <v>Torque Insert, Smart Scrn, 0,6nm</v>
          </cell>
          <cell r="C3413">
            <v>1481</v>
          </cell>
          <cell r="D3413">
            <v>3.04</v>
          </cell>
        </row>
        <row r="3414">
          <cell r="A3414">
            <v>9824503</v>
          </cell>
          <cell r="B3414" t="str">
            <v>Wheel Concentric V Polymer Shielded</v>
          </cell>
          <cell r="C3414">
            <v>901</v>
          </cell>
          <cell r="D3414">
            <v>10.18</v>
          </cell>
        </row>
        <row r="3415">
          <cell r="A3415">
            <v>9824504</v>
          </cell>
          <cell r="B3415" t="str">
            <v>Wheel Eccentric V Polymer Shielded</v>
          </cell>
          <cell r="C3415">
            <v>448</v>
          </cell>
          <cell r="D3415">
            <v>10.35</v>
          </cell>
        </row>
        <row r="3416">
          <cell r="A3416">
            <v>9824505</v>
          </cell>
          <cell r="B3416" t="str">
            <v>Wheel Concentric Crowned Polymer</v>
          </cell>
          <cell r="C3416">
            <v>898</v>
          </cell>
          <cell r="D3416">
            <v>8.82</v>
          </cell>
        </row>
        <row r="3417">
          <cell r="A3417">
            <v>9824506</v>
          </cell>
          <cell r="B3417" t="str">
            <v>Wheel Eccentric Crowned Polymer</v>
          </cell>
          <cell r="C3417">
            <v>458</v>
          </cell>
          <cell r="D3417">
            <v>8.93</v>
          </cell>
        </row>
        <row r="3418">
          <cell r="A3418">
            <v>9824507</v>
          </cell>
          <cell r="B3418" t="str">
            <v>Nut Flange M5x0.8</v>
          </cell>
          <cell r="C3418">
            <v>1960</v>
          </cell>
          <cell r="D3418">
            <v>0.13</v>
          </cell>
        </row>
        <row r="3419">
          <cell r="A3419">
            <v>9824508</v>
          </cell>
          <cell r="B3419" t="str">
            <v>Foot Grommet Bumper</v>
          </cell>
          <cell r="C3419">
            <v>591</v>
          </cell>
          <cell r="D3419">
            <v>0.21</v>
          </cell>
        </row>
        <row r="3420">
          <cell r="A3420">
            <v>9824510</v>
          </cell>
          <cell r="B3420" t="str">
            <v>Schraube M2.5x0.45x5mm Long PH PHLPS SEMS SS</v>
          </cell>
          <cell r="C3420">
            <v>3355</v>
          </cell>
          <cell r="D3420">
            <v>0.35</v>
          </cell>
        </row>
        <row r="3421">
          <cell r="A3421">
            <v>9824511</v>
          </cell>
          <cell r="B3421" t="str">
            <v>Schraube M3x0.5x5mm Long BHCS SS</v>
          </cell>
          <cell r="C3421">
            <v>6804</v>
          </cell>
          <cell r="D3421">
            <v>0.01</v>
          </cell>
        </row>
        <row r="3422">
          <cell r="A3422">
            <v>9824512</v>
          </cell>
          <cell r="B3422" t="str">
            <v>Schraube M3x0.5x6mm Long FHCS SS</v>
          </cell>
          <cell r="C3422">
            <v>1087</v>
          </cell>
          <cell r="D3422">
            <v>0.01</v>
          </cell>
        </row>
        <row r="3423">
          <cell r="A3423">
            <v>9824513</v>
          </cell>
          <cell r="B3423" t="str">
            <v>Schraube M3x0.5x5mm Long FHCS SS</v>
          </cell>
          <cell r="C3423">
            <v>12590</v>
          </cell>
          <cell r="D3423">
            <v>0.01</v>
          </cell>
        </row>
        <row r="3424">
          <cell r="A3424">
            <v>9824514</v>
          </cell>
          <cell r="B3424" t="str">
            <v>Schraube M2.5x0.45x5mm Long FHCS SS</v>
          </cell>
          <cell r="C3424">
            <v>1796</v>
          </cell>
          <cell r="D3424">
            <v>0.01</v>
          </cell>
        </row>
        <row r="3425">
          <cell r="A3425">
            <v>9824515</v>
          </cell>
          <cell r="B3425" t="str">
            <v>Schraube M3x0.5x8mm Long BHCS SS</v>
          </cell>
          <cell r="C3425">
            <v>2000</v>
          </cell>
          <cell r="D3425">
            <v>0.01</v>
          </cell>
        </row>
        <row r="3426">
          <cell r="A3426">
            <v>9824516</v>
          </cell>
          <cell r="B3426" t="str">
            <v>Schraube M4x0.7x8mm Long SHCS SS</v>
          </cell>
          <cell r="C3426">
            <v>2555</v>
          </cell>
          <cell r="D3426">
            <v>0.01</v>
          </cell>
        </row>
        <row r="3427">
          <cell r="A3427">
            <v>9824517</v>
          </cell>
          <cell r="B3427" t="str">
            <v>Schraube M2.3x0.4x10mm Long PAN HD PHLPS SS</v>
          </cell>
          <cell r="C3427">
            <v>0</v>
          </cell>
          <cell r="D3427">
            <v>0.03</v>
          </cell>
        </row>
        <row r="3428">
          <cell r="A3428">
            <v>9824518</v>
          </cell>
          <cell r="B3428" t="str">
            <v>Schraube M4x0.7x12mm Long SHCS SS</v>
          </cell>
          <cell r="C3428">
            <v>3682</v>
          </cell>
          <cell r="D3428">
            <v>0.01</v>
          </cell>
        </row>
        <row r="3429">
          <cell r="A3429">
            <v>9824519</v>
          </cell>
          <cell r="B3429" t="str">
            <v>Unterlegscheibe M4 Plain SS</v>
          </cell>
          <cell r="C3429">
            <v>4115</v>
          </cell>
          <cell r="D3429">
            <v>0</v>
          </cell>
        </row>
        <row r="3430">
          <cell r="A3430">
            <v>9824520</v>
          </cell>
          <cell r="B3430" t="str">
            <v>Gehäuse AC1+2 Sicherungsmutter verz. M3</v>
          </cell>
          <cell r="C3430">
            <v>2949</v>
          </cell>
          <cell r="D3430">
            <v>0.55000000000000004</v>
          </cell>
        </row>
        <row r="3431">
          <cell r="A3431">
            <v>9824521</v>
          </cell>
          <cell r="B3431" t="str">
            <v>Gehäuse AC1+2 Sicherungsmutter verz. M5</v>
          </cell>
          <cell r="C3431">
            <v>881</v>
          </cell>
          <cell r="D3431">
            <v>0.01</v>
          </cell>
        </row>
        <row r="3432">
          <cell r="A3432">
            <v>9824522</v>
          </cell>
          <cell r="B3432" t="str">
            <v>Gehäuse AC1+2 Zahnscheibe verz. 5.3</v>
          </cell>
          <cell r="C3432">
            <v>832</v>
          </cell>
          <cell r="D3432">
            <v>0.01</v>
          </cell>
        </row>
        <row r="3433">
          <cell r="A3433">
            <v>9824523</v>
          </cell>
          <cell r="B3433" t="str">
            <v>Gehäuse AC1+2 Unterlegscheibe verz. 5.3</v>
          </cell>
          <cell r="C3433">
            <v>764</v>
          </cell>
          <cell r="D3433">
            <v>0.01</v>
          </cell>
        </row>
        <row r="3434">
          <cell r="A3434">
            <v>9824524</v>
          </cell>
          <cell r="B3434" t="str">
            <v>Gehäuse AC1+2 Linsensenkschraube verz. M3x6</v>
          </cell>
          <cell r="C3434">
            <v>6178</v>
          </cell>
          <cell r="D3434">
            <v>0.01</v>
          </cell>
        </row>
        <row r="3435">
          <cell r="A3435">
            <v>9824525</v>
          </cell>
          <cell r="B3435" t="str">
            <v>Gehäuse AC1+2 Zahnscheibe verz. 3.2</v>
          </cell>
          <cell r="C3435">
            <v>2386</v>
          </cell>
          <cell r="D3435">
            <v>0.01</v>
          </cell>
        </row>
        <row r="3436">
          <cell r="A3436">
            <v>9824526</v>
          </cell>
          <cell r="B3436" t="str">
            <v>Gehäuse AC1+2 Zahnscheibe verz. 4.3</v>
          </cell>
          <cell r="C3436">
            <v>4480</v>
          </cell>
          <cell r="D3436">
            <v>0.01</v>
          </cell>
        </row>
        <row r="3437">
          <cell r="A3437">
            <v>9824527</v>
          </cell>
          <cell r="B3437" t="str">
            <v>Gehäuse AC1+2 Sechskantmutter M4</v>
          </cell>
          <cell r="C3437">
            <v>1524</v>
          </cell>
          <cell r="D3437">
            <v>0.01</v>
          </cell>
        </row>
        <row r="3438">
          <cell r="A3438">
            <v>9824528</v>
          </cell>
          <cell r="B3438" t="str">
            <v>Gehäuse AC1+2 Linsenkopfschraube verz. M4x10 -H</v>
          </cell>
          <cell r="C3438">
            <v>2100</v>
          </cell>
          <cell r="D3438">
            <v>0.01</v>
          </cell>
        </row>
        <row r="3439">
          <cell r="A3439">
            <v>9824529</v>
          </cell>
          <cell r="B3439" t="str">
            <v>Gehäuse AC1 Unterlegscheibe verz. 4.3</v>
          </cell>
          <cell r="C3439">
            <v>912</v>
          </cell>
          <cell r="D3439">
            <v>0.01</v>
          </cell>
        </row>
        <row r="3440">
          <cell r="A3440">
            <v>9824530</v>
          </cell>
          <cell r="B3440" t="str">
            <v>Gehäuse AC1+2 Senkkopfschraube schw. verz. M3x6</v>
          </cell>
          <cell r="C3440">
            <v>532</v>
          </cell>
          <cell r="D3440">
            <v>0.01</v>
          </cell>
        </row>
        <row r="3441">
          <cell r="A3441">
            <v>9824531</v>
          </cell>
          <cell r="B3441" t="str">
            <v>Gehäuse AC1+2 Senkkopfschraube verz. M3x4</v>
          </cell>
          <cell r="C3441">
            <v>468</v>
          </cell>
          <cell r="D3441">
            <v>0.01</v>
          </cell>
        </row>
        <row r="3442">
          <cell r="A3442">
            <v>9824532</v>
          </cell>
          <cell r="B3442" t="str">
            <v>Gehäuse AC1+2 Linsenkopfschraube verz. M3x10</v>
          </cell>
          <cell r="C3442">
            <v>934</v>
          </cell>
          <cell r="D3442">
            <v>0.01</v>
          </cell>
        </row>
        <row r="3443">
          <cell r="A3443">
            <v>9824533</v>
          </cell>
          <cell r="B3443" t="str">
            <v>Gehäuse AC1 Unterlegscheibe verz. 3.2</v>
          </cell>
          <cell r="C3443">
            <v>1169</v>
          </cell>
          <cell r="D3443">
            <v>0.01</v>
          </cell>
        </row>
        <row r="3444">
          <cell r="A3444">
            <v>9824534</v>
          </cell>
          <cell r="B3444" t="str">
            <v>Gehäuse AC1 Sicherungsmutter verz. M4</v>
          </cell>
          <cell r="C3444">
            <v>2800</v>
          </cell>
          <cell r="D3444">
            <v>0.01</v>
          </cell>
        </row>
        <row r="3445">
          <cell r="A3445">
            <v>9824535</v>
          </cell>
          <cell r="B3445" t="str">
            <v>Gehäuse AC1+2 Senkkopfschraube schw. Verz. M3x10</v>
          </cell>
          <cell r="C3445">
            <v>918</v>
          </cell>
          <cell r="D3445">
            <v>0.01</v>
          </cell>
        </row>
        <row r="3446">
          <cell r="A3446">
            <v>9824536</v>
          </cell>
          <cell r="B3446" t="str">
            <v>Gehäuse AC1+2 Linsenkopfschraube schw. verz. M3x6</v>
          </cell>
          <cell r="C3446">
            <v>3453</v>
          </cell>
          <cell r="D3446">
            <v>0.01</v>
          </cell>
        </row>
        <row r="3447">
          <cell r="A3447">
            <v>9824537</v>
          </cell>
          <cell r="B3447" t="str">
            <v>Schraube Zylinder M4x6mm ISK Schwarz</v>
          </cell>
          <cell r="C3447">
            <v>605</v>
          </cell>
          <cell r="D3447">
            <v>0.1</v>
          </cell>
        </row>
        <row r="3448">
          <cell r="A3448">
            <v>9824538</v>
          </cell>
          <cell r="B3448" t="str">
            <v>Gehäuse AC1+2 Zylinderkopfschraube verz. M4x10</v>
          </cell>
          <cell r="C3448">
            <v>1628</v>
          </cell>
          <cell r="D3448">
            <v>0.01</v>
          </cell>
        </row>
        <row r="3449">
          <cell r="A3449">
            <v>9824539</v>
          </cell>
          <cell r="B3449" t="str">
            <v>Schraube Taptite M3x6</v>
          </cell>
          <cell r="C3449">
            <v>6395</v>
          </cell>
          <cell r="D3449">
            <v>0.01</v>
          </cell>
        </row>
        <row r="3450">
          <cell r="A3450">
            <v>9824540</v>
          </cell>
          <cell r="B3450" t="str">
            <v>Schraube Taptite M3x8</v>
          </cell>
          <cell r="C3450">
            <v>3407</v>
          </cell>
          <cell r="D3450">
            <v>0.01</v>
          </cell>
        </row>
        <row r="3451">
          <cell r="A3451">
            <v>9824541</v>
          </cell>
          <cell r="B3451" t="str">
            <v>Schraube Taptite M3x10</v>
          </cell>
          <cell r="C3451">
            <v>3209</v>
          </cell>
          <cell r="D3451">
            <v>0.01</v>
          </cell>
        </row>
        <row r="3452">
          <cell r="A3452">
            <v>9824542</v>
          </cell>
          <cell r="B3452" t="str">
            <v>Gehäuse AC1+2 Distanzhülse Mess. M3</v>
          </cell>
          <cell r="C3452">
            <v>1033</v>
          </cell>
          <cell r="D3452">
            <v>0.01</v>
          </cell>
        </row>
        <row r="3453">
          <cell r="A3453">
            <v>9824543</v>
          </cell>
          <cell r="B3453" t="str">
            <v>Gehäuse AC1 Isolier-Distanzhülse 05.84.100</v>
          </cell>
          <cell r="C3453">
            <v>598</v>
          </cell>
          <cell r="D3453">
            <v>0.01</v>
          </cell>
        </row>
        <row r="3454">
          <cell r="A3454">
            <v>9824544</v>
          </cell>
          <cell r="B3454" t="str">
            <v>Gehäuse AC1 Isolier-Distanzhülse M4 Länge 150mm</v>
          </cell>
          <cell r="C3454">
            <v>599</v>
          </cell>
          <cell r="D3454">
            <v>0.01</v>
          </cell>
        </row>
        <row r="3455">
          <cell r="A3455">
            <v>9824545</v>
          </cell>
          <cell r="B3455" t="str">
            <v>Gehäuse AC1+2 Isolier-Dist.hülse f. M4 4.0/8.0/6.5</v>
          </cell>
          <cell r="C3455">
            <v>842</v>
          </cell>
          <cell r="D3455">
            <v>0.01</v>
          </cell>
        </row>
        <row r="3456">
          <cell r="A3456">
            <v>9824546</v>
          </cell>
          <cell r="B3456" t="str">
            <v>Gehäuse AC1 Isolier-Distanzhülse M4, Länge 5mm</v>
          </cell>
          <cell r="C3456">
            <v>645</v>
          </cell>
          <cell r="D3456">
            <v>0.01</v>
          </cell>
        </row>
        <row r="3457">
          <cell r="A3457">
            <v>9824547</v>
          </cell>
          <cell r="B3457" t="str">
            <v>Gehäuse AC1 Unterlegscheibe Polyamid 03.03.036</v>
          </cell>
          <cell r="C3457">
            <v>9397</v>
          </cell>
          <cell r="D3457">
            <v>0.1</v>
          </cell>
        </row>
        <row r="3458">
          <cell r="A3458">
            <v>9824548</v>
          </cell>
          <cell r="B3458" t="str">
            <v>Erdungsaufkleber rund farbig</v>
          </cell>
          <cell r="C3458">
            <v>474</v>
          </cell>
          <cell r="D3458">
            <v>0.04</v>
          </cell>
        </row>
        <row r="3459">
          <cell r="A3459">
            <v>9824601</v>
          </cell>
          <cell r="B3459" t="str">
            <v>STORZ HD Manuel *Admin* "Storz" V1</v>
          </cell>
          <cell r="C3459">
            <v>0</v>
          </cell>
          <cell r="D3459">
            <v>4.3</v>
          </cell>
        </row>
        <row r="3460">
          <cell r="A3460">
            <v>9824602</v>
          </cell>
          <cell r="B3460" t="str">
            <v>STORZ HD SW Install Disc "Storz" V1</v>
          </cell>
          <cell r="C3460">
            <v>0</v>
          </cell>
          <cell r="D3460">
            <v>3.42</v>
          </cell>
        </row>
        <row r="3461">
          <cell r="A3461">
            <v>9824603</v>
          </cell>
          <cell r="B3461" t="str">
            <v>MS  Label License XP Embedded</v>
          </cell>
          <cell r="C3461">
            <v>0</v>
          </cell>
          <cell r="D3461">
            <v>65.459999999999994</v>
          </cell>
        </row>
        <row r="3462">
          <cell r="A3462">
            <v>9824604</v>
          </cell>
          <cell r="B3462" t="str">
            <v>Aufkleber Patent AIDA HD connect</v>
          </cell>
          <cell r="C3462">
            <v>1591</v>
          </cell>
          <cell r="D3462">
            <v>0.24</v>
          </cell>
        </row>
        <row r="3463">
          <cell r="A3463">
            <v>9824605</v>
          </cell>
          <cell r="B3463" t="str">
            <v>Aufkleber Connectors AIDA HD connect</v>
          </cell>
          <cell r="C3463">
            <v>927</v>
          </cell>
          <cell r="D3463">
            <v>3.9</v>
          </cell>
        </row>
        <row r="3464">
          <cell r="A3464">
            <v>9824606</v>
          </cell>
          <cell r="B3464" t="str">
            <v>Folie Silber Selbstklebend 30x15mm</v>
          </cell>
          <cell r="C3464">
            <v>1667</v>
          </cell>
          <cell r="D3464">
            <v>1.05</v>
          </cell>
        </row>
        <row r="3465">
          <cell r="A3465">
            <v>9824610</v>
          </cell>
          <cell r="B3465" t="str">
            <v>KSI SOFTWARE KIT K70111-0002A</v>
          </cell>
          <cell r="C3465">
            <v>0</v>
          </cell>
          <cell r="D3465">
            <v>5.03</v>
          </cell>
        </row>
        <row r="3466">
          <cell r="A3466">
            <v>9824611</v>
          </cell>
          <cell r="B3466" t="str">
            <v>KSI INST. MANUAL IM-AIDA CNCT-01</v>
          </cell>
          <cell r="C3466">
            <v>0</v>
          </cell>
          <cell r="D3466">
            <v>6.49</v>
          </cell>
        </row>
        <row r="3467">
          <cell r="A3467">
            <v>9824612</v>
          </cell>
          <cell r="B3467" t="str">
            <v>KSI Admin MANUAL IM-AIDA ADM-01</v>
          </cell>
          <cell r="C3467">
            <v>0</v>
          </cell>
          <cell r="D3467">
            <v>4.0599999999999996</v>
          </cell>
        </row>
        <row r="3468">
          <cell r="A3468">
            <v>9824613</v>
          </cell>
          <cell r="B3468" t="str">
            <v>ARTHREX SW KIT IR8605-0002</v>
          </cell>
          <cell r="C3468">
            <v>0</v>
          </cell>
          <cell r="D3468">
            <v>4.97</v>
          </cell>
        </row>
        <row r="3469">
          <cell r="A3469">
            <v>9824614</v>
          </cell>
          <cell r="B3469" t="str">
            <v>ARTHREX INST.Manual IR8600-IM-US-01</v>
          </cell>
          <cell r="C3469">
            <v>0</v>
          </cell>
          <cell r="D3469">
            <v>8</v>
          </cell>
        </row>
        <row r="3470">
          <cell r="A3470">
            <v>9824615</v>
          </cell>
          <cell r="B3470" t="str">
            <v>ARTHREX ADMIN Manual IR8600-AIM-US-01</v>
          </cell>
          <cell r="C3470">
            <v>0</v>
          </cell>
          <cell r="D3470">
            <v>8</v>
          </cell>
        </row>
        <row r="3471">
          <cell r="A3471">
            <v>9824616</v>
          </cell>
          <cell r="B3471" t="str">
            <v>MS Label License 7 Embedded Standard E</v>
          </cell>
          <cell r="C3471">
            <v>0</v>
          </cell>
          <cell r="D3471">
            <v>79.69</v>
          </cell>
        </row>
        <row r="3472">
          <cell r="A3472">
            <v>9824617</v>
          </cell>
          <cell r="B3472" t="str">
            <v>Software Kit KSI K70111-0009BL</v>
          </cell>
          <cell r="C3472">
            <v>0</v>
          </cell>
          <cell r="D3472">
            <v>4.83</v>
          </cell>
        </row>
        <row r="3473">
          <cell r="A3473">
            <v>9824618</v>
          </cell>
          <cell r="B3473" t="str">
            <v>Inst. Manual KSI IM-AIDA HDC CNCT DC</v>
          </cell>
          <cell r="C3473">
            <v>0</v>
          </cell>
          <cell r="D3473">
            <v>10.06</v>
          </cell>
        </row>
        <row r="3474">
          <cell r="A3474">
            <v>9824619</v>
          </cell>
          <cell r="B3474" t="str">
            <v>Admin Manual KSI IM-AIDA DHC ADM DC</v>
          </cell>
          <cell r="C3474">
            <v>0</v>
          </cell>
          <cell r="D3474">
            <v>5.07</v>
          </cell>
        </row>
        <row r="3475">
          <cell r="A3475">
            <v>9824620</v>
          </cell>
          <cell r="B3475" t="str">
            <v>KSI SOFTWARE KIT K70111-0004A</v>
          </cell>
          <cell r="C3475">
            <v>0</v>
          </cell>
          <cell r="D3475">
            <v>4.32</v>
          </cell>
        </row>
        <row r="3476">
          <cell r="A3476">
            <v>9824621</v>
          </cell>
          <cell r="B3476" t="str">
            <v>Inst. Manual KSI IM-AIDA HDC CNCT-02BA</v>
          </cell>
          <cell r="C3476">
            <v>0</v>
          </cell>
          <cell r="D3476">
            <v>6.62</v>
          </cell>
        </row>
        <row r="3477">
          <cell r="A3477">
            <v>9824622</v>
          </cell>
          <cell r="B3477" t="str">
            <v>Admin Manual KS IM-AIDA HDC ADM-02BA</v>
          </cell>
          <cell r="C3477">
            <v>0</v>
          </cell>
          <cell r="D3477">
            <v>3.07</v>
          </cell>
        </row>
        <row r="3478">
          <cell r="A3478">
            <v>9824624</v>
          </cell>
          <cell r="B3478" t="str">
            <v>Inst.Manual Arthrex IR8600-IM-US-02BA</v>
          </cell>
          <cell r="C3478">
            <v>0</v>
          </cell>
          <cell r="D3478">
            <v>9.66</v>
          </cell>
        </row>
        <row r="3479">
          <cell r="A3479">
            <v>9824625</v>
          </cell>
          <cell r="B3479" t="str">
            <v>Admin Manual Arthrex IR8600-AIM-US-02BA</v>
          </cell>
          <cell r="C3479">
            <v>0</v>
          </cell>
          <cell r="D3479">
            <v>4.67</v>
          </cell>
        </row>
        <row r="3480">
          <cell r="A3480">
            <v>9824626</v>
          </cell>
          <cell r="B3480" t="str">
            <v>Aufkleber Connectors AIDA HD connect DC</v>
          </cell>
          <cell r="C3480">
            <v>934</v>
          </cell>
          <cell r="D3480">
            <v>6.92</v>
          </cell>
        </row>
        <row r="3481">
          <cell r="A3481">
            <v>9824627</v>
          </cell>
          <cell r="B3481" t="str">
            <v>Software Kit Arthrex IR8605-0007</v>
          </cell>
          <cell r="C3481">
            <v>0</v>
          </cell>
          <cell r="D3481">
            <v>4.0199999999999996</v>
          </cell>
        </row>
        <row r="3482">
          <cell r="A3482">
            <v>9824628</v>
          </cell>
          <cell r="B3482" t="str">
            <v>KSI SOFTWARE KIT K70111-0007BA</v>
          </cell>
          <cell r="C3482">
            <v>0</v>
          </cell>
          <cell r="D3482">
            <v>4.22</v>
          </cell>
        </row>
        <row r="3483">
          <cell r="A3483">
            <v>9824630</v>
          </cell>
          <cell r="B3483" t="str">
            <v>Software Kit KSI K70111-0007BB</v>
          </cell>
          <cell r="C3483">
            <v>0</v>
          </cell>
          <cell r="D3483">
            <v>4.87</v>
          </cell>
        </row>
        <row r="3484">
          <cell r="A3484">
            <v>9824701</v>
          </cell>
          <cell r="B3484" t="str">
            <v>Chassis Bottom SmartScreen With Foot Rails/Inserts</v>
          </cell>
          <cell r="C3484">
            <v>397</v>
          </cell>
          <cell r="D3484">
            <v>36.5</v>
          </cell>
        </row>
        <row r="3485">
          <cell r="A3485">
            <v>9824702</v>
          </cell>
          <cell r="B3485" t="str">
            <v>Chassis Top AIDA HD SmartScreen</v>
          </cell>
          <cell r="C3485">
            <v>371</v>
          </cell>
          <cell r="D3485">
            <v>19.899999999999999</v>
          </cell>
        </row>
        <row r="3486">
          <cell r="A3486">
            <v>9824703</v>
          </cell>
          <cell r="B3486" t="str">
            <v>Cleat Chassis AIDA HD SmartScreen</v>
          </cell>
          <cell r="C3486">
            <v>836</v>
          </cell>
          <cell r="D3486">
            <v>8.3000000000000007</v>
          </cell>
        </row>
        <row r="3487">
          <cell r="A3487">
            <v>9824704</v>
          </cell>
          <cell r="B3487" t="str">
            <v>Bezel Bottom Display W/Inserts AIDA HD SmartScreen</v>
          </cell>
          <cell r="C3487">
            <v>0</v>
          </cell>
          <cell r="D3487">
            <v>150.53</v>
          </cell>
        </row>
        <row r="3488">
          <cell r="A3488">
            <v>9824705</v>
          </cell>
          <cell r="B3488" t="str">
            <v>Geh.Rau Insert Torque Profile  A-H-S</v>
          </cell>
          <cell r="C3488">
            <v>0</v>
          </cell>
          <cell r="D3488">
            <v>11.6</v>
          </cell>
        </row>
        <row r="3489">
          <cell r="A3489">
            <v>9824706</v>
          </cell>
          <cell r="B3489" t="str">
            <v>Bezel Front Chassis AIDA HD SmartScreen</v>
          </cell>
          <cell r="C3489">
            <v>456</v>
          </cell>
          <cell r="D3489">
            <v>48.8</v>
          </cell>
        </row>
        <row r="3490">
          <cell r="A3490">
            <v>9824707</v>
          </cell>
          <cell r="B3490" t="str">
            <v>Insert Guide AIDA HD SmartScreen</v>
          </cell>
          <cell r="C3490">
            <v>853</v>
          </cell>
          <cell r="D3490">
            <v>7.5</v>
          </cell>
        </row>
        <row r="3491">
          <cell r="A3491">
            <v>9824708</v>
          </cell>
          <cell r="B3491" t="str">
            <v>Rail Right AIDA HD SmartScreen</v>
          </cell>
          <cell r="C3491">
            <v>504</v>
          </cell>
          <cell r="D3491">
            <v>28.7</v>
          </cell>
        </row>
        <row r="3492">
          <cell r="A3492">
            <v>9824709</v>
          </cell>
          <cell r="B3492" t="str">
            <v>Rail Left AIDA HD SmartScreen</v>
          </cell>
          <cell r="C3492">
            <v>498</v>
          </cell>
          <cell r="D3492">
            <v>35.25</v>
          </cell>
        </row>
        <row r="3493">
          <cell r="A3493">
            <v>9824710</v>
          </cell>
          <cell r="B3493" t="str">
            <v>Channel Roller Right Crowned</v>
          </cell>
          <cell r="C3493">
            <v>406</v>
          </cell>
          <cell r="D3493">
            <v>22.15</v>
          </cell>
        </row>
        <row r="3494">
          <cell r="A3494">
            <v>9824711</v>
          </cell>
          <cell r="B3494" t="str">
            <v>Mount Cabinet Latch AIDA HD SmartScreen</v>
          </cell>
          <cell r="C3494">
            <v>579</v>
          </cell>
          <cell r="D3494">
            <v>7.35</v>
          </cell>
        </row>
        <row r="3495">
          <cell r="A3495">
            <v>9824712</v>
          </cell>
          <cell r="B3495" t="str">
            <v>Chassis Bottom LCD Controller AIDA HD SmartScreen</v>
          </cell>
          <cell r="C3495">
            <v>395</v>
          </cell>
          <cell r="D3495">
            <v>19.7</v>
          </cell>
        </row>
        <row r="3496">
          <cell r="A3496">
            <v>9824713</v>
          </cell>
          <cell r="B3496" t="str">
            <v>Chassis Top LCD Controller AIDA HD SmartScreen</v>
          </cell>
          <cell r="C3496">
            <v>537</v>
          </cell>
          <cell r="D3496">
            <v>11.6</v>
          </cell>
        </row>
        <row r="3497">
          <cell r="A3497">
            <v>9824714</v>
          </cell>
          <cell r="B3497" t="str">
            <v>Bezel Front Chassis LCD Controller AIDA HD SS</v>
          </cell>
          <cell r="C3497">
            <v>500</v>
          </cell>
          <cell r="D3497">
            <v>35.65</v>
          </cell>
        </row>
        <row r="3498">
          <cell r="A3498">
            <v>9824715</v>
          </cell>
          <cell r="B3498" t="str">
            <v>Channel Roller Left V-Groove Modification</v>
          </cell>
          <cell r="C3498">
            <v>385</v>
          </cell>
          <cell r="D3498">
            <v>20.46</v>
          </cell>
        </row>
        <row r="3499">
          <cell r="A3499">
            <v>9824716</v>
          </cell>
          <cell r="B3499" t="str">
            <v>Mount Switch AIDA HD SmartScreen</v>
          </cell>
          <cell r="C3499">
            <v>0</v>
          </cell>
          <cell r="D3499">
            <v>3.15</v>
          </cell>
        </row>
        <row r="3500">
          <cell r="A3500">
            <v>9824717</v>
          </cell>
          <cell r="B3500" t="str">
            <v>Plate Face Bezel AIDA HD SmartScreen</v>
          </cell>
          <cell r="C3500">
            <v>0</v>
          </cell>
          <cell r="D3500">
            <v>50.18</v>
          </cell>
        </row>
        <row r="3501">
          <cell r="A3501">
            <v>9824718</v>
          </cell>
          <cell r="B3501" t="str">
            <v>Bezel Top Display AIDA HD SmartScreen</v>
          </cell>
          <cell r="C3501">
            <v>0</v>
          </cell>
          <cell r="D3501">
            <v>84.7</v>
          </cell>
        </row>
        <row r="3502">
          <cell r="A3502">
            <v>9824719</v>
          </cell>
          <cell r="B3502" t="str">
            <v>Bracket Retainer SmartScreen</v>
          </cell>
          <cell r="C3502">
            <v>383</v>
          </cell>
          <cell r="D3502">
            <v>1.65</v>
          </cell>
        </row>
        <row r="3503">
          <cell r="A3503">
            <v>9824720</v>
          </cell>
          <cell r="B3503" t="str">
            <v>Spacer Sleeve M4 3mm</v>
          </cell>
          <cell r="C3503">
            <v>1128</v>
          </cell>
          <cell r="D3503">
            <v>0.03</v>
          </cell>
        </row>
        <row r="3504">
          <cell r="A3504">
            <v>9827000</v>
          </cell>
          <cell r="B3504" t="str">
            <v>Pro-Cart AMD HistoScanning</v>
          </cell>
          <cell r="C3504">
            <v>7</v>
          </cell>
          <cell r="D3504">
            <v>888</v>
          </cell>
        </row>
        <row r="3505">
          <cell r="A3505">
            <v>9827001</v>
          </cell>
          <cell r="B3505" t="str">
            <v>Netzwerk-Isolator EN-30</v>
          </cell>
          <cell r="C3505">
            <v>21</v>
          </cell>
          <cell r="D3505">
            <v>97</v>
          </cell>
        </row>
        <row r="3506">
          <cell r="A3506">
            <v>9827002</v>
          </cell>
          <cell r="B3506" t="str">
            <v>Stromkabel EU 3m</v>
          </cell>
          <cell r="C3506">
            <v>7</v>
          </cell>
          <cell r="D3506">
            <v>7.5</v>
          </cell>
        </row>
        <row r="3507">
          <cell r="A3507">
            <v>9827003</v>
          </cell>
          <cell r="B3507" t="str">
            <v>Stromkabel US 3m</v>
          </cell>
          <cell r="C3507">
            <v>26</v>
          </cell>
          <cell r="D3507">
            <v>15.5</v>
          </cell>
        </row>
        <row r="3508">
          <cell r="A3508">
            <v>9827004</v>
          </cell>
          <cell r="B3508" t="str">
            <v>Kabel Camera Link 3m</v>
          </cell>
          <cell r="C3508">
            <v>16</v>
          </cell>
          <cell r="D3508">
            <v>89.25</v>
          </cell>
        </row>
        <row r="3509">
          <cell r="A3509">
            <v>9827005</v>
          </cell>
          <cell r="B3509" t="str">
            <v>EMV Blech für Kontron KT965/Flex</v>
          </cell>
          <cell r="C3509">
            <v>0</v>
          </cell>
          <cell r="D3509">
            <v>13</v>
          </cell>
        </row>
        <row r="3510">
          <cell r="A3510">
            <v>9827006</v>
          </cell>
          <cell r="B3510" t="str">
            <v>Slotblech metall</v>
          </cell>
          <cell r="C3510">
            <v>394</v>
          </cell>
          <cell r="D3510">
            <v>0.46</v>
          </cell>
        </row>
        <row r="3511">
          <cell r="A3511">
            <v>9827007</v>
          </cell>
          <cell r="B3511" t="str">
            <v>Montage Kit Erdungskabel</v>
          </cell>
          <cell r="C3511">
            <v>4</v>
          </cell>
          <cell r="D3511">
            <v>1</v>
          </cell>
        </row>
        <row r="3512">
          <cell r="A3512">
            <v>9827008</v>
          </cell>
          <cell r="B3512" t="str">
            <v>Aufkleber "Class 1 Laser Product"</v>
          </cell>
          <cell r="C3512">
            <v>0</v>
          </cell>
          <cell r="D3512">
            <v>0.6</v>
          </cell>
        </row>
        <row r="3513">
          <cell r="A3513">
            <v>9827009</v>
          </cell>
          <cell r="B3513" t="str">
            <v>Treiber CD "HistoScanning"</v>
          </cell>
          <cell r="C3513">
            <v>0</v>
          </cell>
          <cell r="D3513">
            <v>1</v>
          </cell>
        </row>
        <row r="3514">
          <cell r="A3514">
            <v>9827010</v>
          </cell>
          <cell r="B3514" t="str">
            <v>Aufkleber "HistoScanning 3D"</v>
          </cell>
          <cell r="C3514">
            <v>0</v>
          </cell>
          <cell r="D3514">
            <v>1.5</v>
          </cell>
        </row>
        <row r="3515">
          <cell r="A3515">
            <v>9827011</v>
          </cell>
          <cell r="B3515" t="str">
            <v>Kabel Erdung PC &lt;-&gt; Cart</v>
          </cell>
          <cell r="C3515">
            <v>0</v>
          </cell>
          <cell r="D3515">
            <v>1</v>
          </cell>
        </row>
        <row r="3516">
          <cell r="A3516">
            <v>9827012</v>
          </cell>
          <cell r="B3516" t="str">
            <v>Aufkleber "Schockindikator"</v>
          </cell>
          <cell r="C3516">
            <v>16</v>
          </cell>
          <cell r="D3516">
            <v>3.15</v>
          </cell>
        </row>
        <row r="3517">
          <cell r="A3517">
            <v>9827015</v>
          </cell>
          <cell r="B3517" t="str">
            <v>Aufkleber "Nicht stapeln"</v>
          </cell>
          <cell r="C3517">
            <v>1178</v>
          </cell>
          <cell r="D3517">
            <v>0.1</v>
          </cell>
        </row>
        <row r="3518">
          <cell r="A3518">
            <v>9827016</v>
          </cell>
          <cell r="B3518" t="str">
            <v>HISTO Caution Label US marked</v>
          </cell>
          <cell r="C3518">
            <v>0</v>
          </cell>
          <cell r="D3518">
            <v>1</v>
          </cell>
        </row>
        <row r="3519">
          <cell r="A3519">
            <v>9827017</v>
          </cell>
          <cell r="B3519" t="str">
            <v>Sicherung 5x20mm UL</v>
          </cell>
          <cell r="C3519">
            <v>0</v>
          </cell>
          <cell r="D3519">
            <v>0.25</v>
          </cell>
        </row>
        <row r="3520">
          <cell r="A3520">
            <v>9827018</v>
          </cell>
          <cell r="B3520" t="str">
            <v>Sicherungsfassung FX0380 UL/Clear</v>
          </cell>
          <cell r="C3520">
            <v>100</v>
          </cell>
          <cell r="D3520">
            <v>1.29</v>
          </cell>
        </row>
        <row r="3521">
          <cell r="A3521">
            <v>9827022</v>
          </cell>
          <cell r="B3521" t="str">
            <v>HISTO Void Sticker 115x10mm</v>
          </cell>
          <cell r="C3521">
            <v>0</v>
          </cell>
          <cell r="D3521">
            <v>5</v>
          </cell>
        </row>
        <row r="3522">
          <cell r="A3522">
            <v>9827023</v>
          </cell>
          <cell r="B3522" t="str">
            <v>CLIN AC/DC Netzteil AMM120PS12</v>
          </cell>
          <cell r="C3522">
            <v>0</v>
          </cell>
          <cell r="D3522">
            <v>130</v>
          </cell>
        </row>
        <row r="3523">
          <cell r="A3523">
            <v>9827024</v>
          </cell>
          <cell r="B3523" t="str">
            <v>CLIN AC/DC Netzteil AFM45US12</v>
          </cell>
          <cell r="C3523">
            <v>0</v>
          </cell>
          <cell r="D3523">
            <v>39</v>
          </cell>
        </row>
        <row r="3524">
          <cell r="A3524">
            <v>9827026</v>
          </cell>
          <cell r="B3524" t="str">
            <v>Netzteil 600W MPSM-5600V</v>
          </cell>
          <cell r="C3524">
            <v>13</v>
          </cell>
          <cell r="D3524">
            <v>150.38</v>
          </cell>
        </row>
        <row r="3525">
          <cell r="A3525">
            <v>9827029</v>
          </cell>
          <cell r="B3525" t="str">
            <v>Netzteil AC1+2 DCDC-ATX-Konverter</v>
          </cell>
          <cell r="C3525">
            <v>94</v>
          </cell>
          <cell r="D3525">
            <v>36</v>
          </cell>
        </row>
        <row r="3526">
          <cell r="A3526">
            <v>9827030</v>
          </cell>
          <cell r="B3526" t="str">
            <v>Netzteil AC1 Med. Netzteil SNP-Z107M</v>
          </cell>
          <cell r="C3526">
            <v>2</v>
          </cell>
          <cell r="D3526">
            <v>59</v>
          </cell>
        </row>
        <row r="3527">
          <cell r="A3527">
            <v>9827031</v>
          </cell>
          <cell r="B3527" t="str">
            <v>Netzteil AC1+2 ATX Kabelbaum</v>
          </cell>
          <cell r="C3527">
            <v>95</v>
          </cell>
          <cell r="D3527">
            <v>9</v>
          </cell>
        </row>
        <row r="3528">
          <cell r="A3528">
            <v>9827032</v>
          </cell>
          <cell r="B3528" t="str">
            <v>Netzteil AC1 Ausgangskabelbaum SNP-Z107M</v>
          </cell>
          <cell r="C3528">
            <v>0</v>
          </cell>
          <cell r="D3528">
            <v>1.87</v>
          </cell>
        </row>
        <row r="3529">
          <cell r="A3529">
            <v>9827033</v>
          </cell>
          <cell r="B3529" t="str">
            <v>Netzteil AC1+2 AC Versorgungsleitung</v>
          </cell>
          <cell r="C3529">
            <v>0</v>
          </cell>
          <cell r="D3529">
            <v>2</v>
          </cell>
        </row>
        <row r="3530">
          <cell r="A3530">
            <v>9827034</v>
          </cell>
          <cell r="B3530" t="str">
            <v>Gehäuse AC1+2 Erdungskit</v>
          </cell>
          <cell r="C3530">
            <v>16</v>
          </cell>
          <cell r="D3530">
            <v>8.3000000000000007</v>
          </cell>
        </row>
        <row r="3531">
          <cell r="A3531">
            <v>9827035</v>
          </cell>
          <cell r="B3531" t="str">
            <v>Gehäuse AC1+2 Abdeckblech ADD-In</v>
          </cell>
          <cell r="C3531">
            <v>333</v>
          </cell>
          <cell r="D3531">
            <v>1</v>
          </cell>
        </row>
        <row r="3532">
          <cell r="A3532">
            <v>9827036</v>
          </cell>
          <cell r="B3532" t="str">
            <v>Gehäuse AC1 Gehäuseunterteil</v>
          </cell>
          <cell r="C3532">
            <v>0</v>
          </cell>
          <cell r="D3532">
            <v>214</v>
          </cell>
        </row>
        <row r="3533">
          <cell r="A3533">
            <v>9827037</v>
          </cell>
          <cell r="B3533" t="str">
            <v>Gehäuse AC1 Gehäuseinnendeckel</v>
          </cell>
          <cell r="C3533">
            <v>2</v>
          </cell>
          <cell r="D3533">
            <v>32</v>
          </cell>
        </row>
        <row r="3534">
          <cell r="A3534">
            <v>9827038</v>
          </cell>
          <cell r="B3534" t="str">
            <v>Gehäuse AC1 Deckel Netzteil-Wandler</v>
          </cell>
          <cell r="C3534">
            <v>1</v>
          </cell>
          <cell r="D3534">
            <v>6</v>
          </cell>
        </row>
        <row r="3535">
          <cell r="A3535">
            <v>9827039</v>
          </cell>
          <cell r="B3535" t="str">
            <v>Gehäuse AC1+2 Halteblech PCI-Slots</v>
          </cell>
          <cell r="C3535">
            <v>36</v>
          </cell>
          <cell r="D3535">
            <v>1</v>
          </cell>
        </row>
        <row r="3536">
          <cell r="A3536">
            <v>9827040</v>
          </cell>
          <cell r="B3536" t="str">
            <v>Gehäuse AC1 Gehäusedeckel</v>
          </cell>
          <cell r="C3536">
            <v>0</v>
          </cell>
          <cell r="D3536">
            <v>54</v>
          </cell>
        </row>
        <row r="3537">
          <cell r="A3537">
            <v>9827041</v>
          </cell>
          <cell r="B3537" t="str">
            <v>Gehäuse AC1+2 Slotblechhalter</v>
          </cell>
          <cell r="C3537">
            <v>35</v>
          </cell>
          <cell r="D3537">
            <v>1</v>
          </cell>
        </row>
        <row r="3538">
          <cell r="A3538">
            <v>9827042</v>
          </cell>
          <cell r="B3538" t="str">
            <v>Gehäuse AC1 Kühlkörper Grafikchip</v>
          </cell>
          <cell r="C3538">
            <v>5</v>
          </cell>
          <cell r="D3538">
            <v>18</v>
          </cell>
        </row>
        <row r="3539">
          <cell r="A3539">
            <v>9827043</v>
          </cell>
          <cell r="B3539" t="str">
            <v>Gehäuse AC1 Unterschale Netzteil-Wandler</v>
          </cell>
          <cell r="C3539">
            <v>10</v>
          </cell>
          <cell r="D3539">
            <v>9</v>
          </cell>
        </row>
        <row r="3540">
          <cell r="A3540">
            <v>9827044</v>
          </cell>
          <cell r="B3540" t="str">
            <v>Gehäuse AC1+2 Abdeckblech Laufwerksschacht</v>
          </cell>
          <cell r="C3540">
            <v>50</v>
          </cell>
          <cell r="D3540">
            <v>2.67</v>
          </cell>
        </row>
        <row r="3541">
          <cell r="A3541">
            <v>9827045</v>
          </cell>
          <cell r="B3541" t="str">
            <v>Gehäuse AC1+2 Federblech (Heatpipesicherung)</v>
          </cell>
          <cell r="C3541">
            <v>157</v>
          </cell>
          <cell r="D3541">
            <v>5</v>
          </cell>
        </row>
        <row r="3542">
          <cell r="A3542">
            <v>9827046</v>
          </cell>
          <cell r="B3542" t="str">
            <v>Gehäuse AC1 Aufnahmeplatte CPU Kühlung</v>
          </cell>
          <cell r="C3542">
            <v>5</v>
          </cell>
          <cell r="D3542">
            <v>7</v>
          </cell>
        </row>
        <row r="3543">
          <cell r="A3543">
            <v>9827047</v>
          </cell>
          <cell r="B3543" t="str">
            <v>Gehäuse AC1+2 Aufnahme HDD</v>
          </cell>
          <cell r="C3543">
            <v>29</v>
          </cell>
          <cell r="D3543">
            <v>5</v>
          </cell>
        </row>
        <row r="3544">
          <cell r="A3544">
            <v>9827048</v>
          </cell>
          <cell r="B3544" t="str">
            <v>Gehäuse AC1 Riserkarten Halter</v>
          </cell>
          <cell r="C3544">
            <v>5</v>
          </cell>
          <cell r="D3544">
            <v>17</v>
          </cell>
        </row>
        <row r="3545">
          <cell r="A3545">
            <v>9827049</v>
          </cell>
          <cell r="B3545" t="str">
            <v>Gehäuse AC1+2 Slotblech</v>
          </cell>
          <cell r="C3545">
            <v>107</v>
          </cell>
          <cell r="D3545">
            <v>1</v>
          </cell>
        </row>
        <row r="3546">
          <cell r="A3546">
            <v>9827050</v>
          </cell>
          <cell r="B3546" t="str">
            <v>Gehäuse AC1+2 Abdeckung USB-Buchse</v>
          </cell>
          <cell r="C3546">
            <v>31</v>
          </cell>
          <cell r="D3546">
            <v>1</v>
          </cell>
        </row>
        <row r="3547">
          <cell r="A3547">
            <v>9827051</v>
          </cell>
          <cell r="B3547" t="str">
            <v>Gehäuse AC1 Heatpipe Prozessor</v>
          </cell>
          <cell r="C3547">
            <v>0</v>
          </cell>
          <cell r="D3547">
            <v>6</v>
          </cell>
        </row>
        <row r="3548">
          <cell r="A3548">
            <v>9827052</v>
          </cell>
          <cell r="B3548" t="str">
            <v>Gehäuse AC1 Heatpipe Grafikchip</v>
          </cell>
          <cell r="C3548">
            <v>0</v>
          </cell>
          <cell r="D3548">
            <v>6</v>
          </cell>
        </row>
        <row r="3549">
          <cell r="A3549">
            <v>9827053</v>
          </cell>
          <cell r="B3549" t="str">
            <v>Gehäuse AC1+2 Heatpipe Aufnahme</v>
          </cell>
          <cell r="C3549">
            <v>119</v>
          </cell>
          <cell r="D3549">
            <v>10</v>
          </cell>
        </row>
        <row r="3550">
          <cell r="A3550">
            <v>9827054</v>
          </cell>
          <cell r="B3550" t="str">
            <v>Gehäuse AC1+2 Dichtung Grafiksockel</v>
          </cell>
          <cell r="C3550">
            <v>34</v>
          </cell>
          <cell r="D3550">
            <v>3</v>
          </cell>
        </row>
        <row r="3551">
          <cell r="A3551">
            <v>9827055</v>
          </cell>
          <cell r="B3551" t="str">
            <v>Gehäuse AC1 Kontaktschutzfolie Netzteil</v>
          </cell>
          <cell r="C3551">
            <v>8</v>
          </cell>
          <cell r="D3551">
            <v>2</v>
          </cell>
        </row>
        <row r="3552">
          <cell r="A3552">
            <v>9827056</v>
          </cell>
          <cell r="B3552" t="str">
            <v>Gehäuse AC1 I/O EMV Dichtung</v>
          </cell>
          <cell r="C3552">
            <v>5</v>
          </cell>
          <cell r="D3552">
            <v>6</v>
          </cell>
        </row>
        <row r="3553">
          <cell r="A3553">
            <v>9827057</v>
          </cell>
          <cell r="B3553" t="str">
            <v>Gehäuse AC1+2 Deckelfolie MCD</v>
          </cell>
          <cell r="C3553">
            <v>50</v>
          </cell>
          <cell r="D3553">
            <v>7.7</v>
          </cell>
        </row>
        <row r="3554">
          <cell r="A3554">
            <v>9827058</v>
          </cell>
          <cell r="B3554" t="str">
            <v>Gehäuse AC1 Folientastatur MCD</v>
          </cell>
          <cell r="C3554">
            <v>0</v>
          </cell>
          <cell r="D3554">
            <v>18.5</v>
          </cell>
        </row>
        <row r="3555">
          <cell r="A3555">
            <v>9827059</v>
          </cell>
          <cell r="B3555" t="str">
            <v>Gehäuse AC1+2 Backplane Shield</v>
          </cell>
          <cell r="C3555">
            <v>42</v>
          </cell>
          <cell r="D3555">
            <v>1</v>
          </cell>
        </row>
        <row r="3556">
          <cell r="A3556">
            <v>9827060</v>
          </cell>
          <cell r="B3556" t="str">
            <v>Gehäuse AC1+2 Kühlkörper II</v>
          </cell>
          <cell r="C3556">
            <v>64</v>
          </cell>
          <cell r="D3556">
            <v>25</v>
          </cell>
        </row>
        <row r="3557">
          <cell r="A3557">
            <v>9827061</v>
          </cell>
          <cell r="B3557" t="str">
            <v>Gehäuse AC1+2 Klemmstück 2-Teilig 50mm Ø</v>
          </cell>
          <cell r="C3557">
            <v>40</v>
          </cell>
          <cell r="D3557">
            <v>10</v>
          </cell>
        </row>
        <row r="3558">
          <cell r="A3558">
            <v>9827062</v>
          </cell>
          <cell r="B3558" t="str">
            <v>Gehäuse AC1+2 Sonderdrehteil Feder</v>
          </cell>
          <cell r="C3558">
            <v>127</v>
          </cell>
          <cell r="D3558">
            <v>2.5</v>
          </cell>
        </row>
        <row r="3559">
          <cell r="A3559">
            <v>9827063</v>
          </cell>
          <cell r="B3559" t="str">
            <v>Gehäuse AC1+2 Druckfeder 1.4310</v>
          </cell>
          <cell r="C3559">
            <v>119</v>
          </cell>
          <cell r="D3559">
            <v>0.5</v>
          </cell>
        </row>
        <row r="3560">
          <cell r="A3560">
            <v>9827064</v>
          </cell>
          <cell r="B3560" t="str">
            <v>Gehäuse AC1+2 Puffer mit durchgehendem Loch</v>
          </cell>
          <cell r="C3560">
            <v>139</v>
          </cell>
          <cell r="D3560">
            <v>3</v>
          </cell>
        </row>
        <row r="3561">
          <cell r="A3561">
            <v>9827065</v>
          </cell>
          <cell r="B3561" t="str">
            <v>Gehäuse AC1 Kantenschutzprofil gezahnt 30cm</v>
          </cell>
          <cell r="C3561">
            <v>38.5</v>
          </cell>
          <cell r="D3561">
            <v>3</v>
          </cell>
        </row>
        <row r="3562">
          <cell r="A3562">
            <v>9827066</v>
          </cell>
          <cell r="B3562" t="str">
            <v>Gehäuse AC1 Rundschnurdichtung EMV 1,85mm Ø</v>
          </cell>
          <cell r="C3562">
            <v>0</v>
          </cell>
          <cell r="D3562">
            <v>1</v>
          </cell>
        </row>
        <row r="3563">
          <cell r="A3563">
            <v>9827067</v>
          </cell>
          <cell r="B3563" t="str">
            <v>Gehäuse AC1+2 Schwingungsdämpfer M4 Int./Ext.</v>
          </cell>
          <cell r="C3563">
            <v>66</v>
          </cell>
          <cell r="D3563">
            <v>3</v>
          </cell>
        </row>
        <row r="3564">
          <cell r="A3564">
            <v>9827068</v>
          </cell>
          <cell r="B3564" t="str">
            <v>Gehäuse AC1+2 Geräteeinbaustecker mit Schalter</v>
          </cell>
          <cell r="C3564">
            <v>45</v>
          </cell>
          <cell r="D3564">
            <v>4.26</v>
          </cell>
        </row>
        <row r="3565">
          <cell r="A3565">
            <v>9827069</v>
          </cell>
          <cell r="B3565" t="str">
            <v>Gehäuse AC1+2 Sicherung für Geräteeinbaustecker</v>
          </cell>
          <cell r="C3565">
            <v>192</v>
          </cell>
          <cell r="D3565">
            <v>0.34</v>
          </cell>
        </row>
        <row r="3566">
          <cell r="A3566">
            <v>9827070</v>
          </cell>
          <cell r="B3566" t="str">
            <v>Gehäuse AC2 Heatpipe für Grafikchip</v>
          </cell>
          <cell r="C3566">
            <v>180</v>
          </cell>
          <cell r="D3566">
            <v>5.46</v>
          </cell>
        </row>
        <row r="3567">
          <cell r="A3567">
            <v>9827071</v>
          </cell>
          <cell r="B3567" t="str">
            <v>Gehäuse AC2 Heatpipe für CPU</v>
          </cell>
          <cell r="C3567">
            <v>158</v>
          </cell>
          <cell r="D3567">
            <v>5.46</v>
          </cell>
        </row>
        <row r="3568">
          <cell r="A3568">
            <v>9827072</v>
          </cell>
          <cell r="B3568" t="str">
            <v>Gehäuse AC2 Heatpipe für CPU</v>
          </cell>
          <cell r="C3568">
            <v>372</v>
          </cell>
          <cell r="D3568">
            <v>5.69</v>
          </cell>
        </row>
        <row r="3569">
          <cell r="A3569">
            <v>9827073</v>
          </cell>
          <cell r="B3569" t="str">
            <v>Netzteil AC2 BEO-1024M AC/DC Wandler 100W 24V (NT)</v>
          </cell>
          <cell r="C3569">
            <v>113</v>
          </cell>
          <cell r="D3569">
            <v>46</v>
          </cell>
        </row>
        <row r="3570">
          <cell r="A3570">
            <v>9827074</v>
          </cell>
          <cell r="B3570" t="str">
            <v>DC Leitung für BEO-1000M DC Wandler</v>
          </cell>
          <cell r="C3570">
            <v>15</v>
          </cell>
          <cell r="D3570">
            <v>5.23</v>
          </cell>
        </row>
        <row r="3571">
          <cell r="A3571">
            <v>9827075</v>
          </cell>
          <cell r="B3571" t="str">
            <v>Netzteil AC2 DC2412 DC/DC Wandler</v>
          </cell>
          <cell r="C3571">
            <v>96</v>
          </cell>
          <cell r="D3571">
            <v>36</v>
          </cell>
        </row>
        <row r="3572">
          <cell r="A3572">
            <v>9827076</v>
          </cell>
          <cell r="B3572" t="str">
            <v>DC-USV Open Frame AESCU.certus2</v>
          </cell>
          <cell r="C3572">
            <v>0</v>
          </cell>
          <cell r="D3572">
            <v>127</v>
          </cell>
        </row>
        <row r="3573">
          <cell r="A3573">
            <v>9827077</v>
          </cell>
          <cell r="B3573" t="str">
            <v>DC-USV Bat.Pack AESCU.certus2</v>
          </cell>
          <cell r="C3573">
            <v>0</v>
          </cell>
          <cell r="D3573">
            <v>51</v>
          </cell>
        </row>
        <row r="3574">
          <cell r="A3574">
            <v>9827078</v>
          </cell>
          <cell r="B3574" t="str">
            <v>DC-USV Management-SW AESCU.certus2</v>
          </cell>
          <cell r="C3574">
            <v>0</v>
          </cell>
          <cell r="D3574">
            <v>17</v>
          </cell>
        </row>
        <row r="3575">
          <cell r="A3575">
            <v>9827079</v>
          </cell>
          <cell r="B3575" t="str">
            <v>AESCU.certus USB Buchse IP54</v>
          </cell>
          <cell r="C3575">
            <v>4</v>
          </cell>
          <cell r="D3575">
            <v>29.64</v>
          </cell>
        </row>
        <row r="3576">
          <cell r="A3576">
            <v>9827080</v>
          </cell>
          <cell r="B3576" t="str">
            <v>Halter opt. Slim-Laufwerk für AESCU.certus1+2</v>
          </cell>
          <cell r="C3576">
            <v>12</v>
          </cell>
          <cell r="D3576">
            <v>5</v>
          </cell>
        </row>
        <row r="3577">
          <cell r="A3577">
            <v>9827081</v>
          </cell>
          <cell r="B3577" t="str">
            <v>Universalblech 1 für USV Steckverbindung</v>
          </cell>
          <cell r="C3577">
            <v>0</v>
          </cell>
          <cell r="D3577">
            <v>9</v>
          </cell>
        </row>
        <row r="3578">
          <cell r="A3578">
            <v>9827082</v>
          </cell>
          <cell r="B3578" t="str">
            <v>Kühlblech USV</v>
          </cell>
          <cell r="C3578">
            <v>0</v>
          </cell>
          <cell r="D3578">
            <v>7</v>
          </cell>
        </row>
        <row r="3579">
          <cell r="A3579">
            <v>9827083</v>
          </cell>
          <cell r="B3579" t="str">
            <v>IP-Abdeckgehäuse für USV</v>
          </cell>
          <cell r="C3579">
            <v>0</v>
          </cell>
          <cell r="D3579">
            <v>24</v>
          </cell>
        </row>
        <row r="3580">
          <cell r="A3580">
            <v>9827084</v>
          </cell>
          <cell r="B3580" t="str">
            <v>Deckel für IP Abdeckung</v>
          </cell>
          <cell r="C3580">
            <v>0</v>
          </cell>
          <cell r="D3580">
            <v>15</v>
          </cell>
        </row>
        <row r="3581">
          <cell r="A3581">
            <v>9827085</v>
          </cell>
          <cell r="B3581" t="str">
            <v>IP-Abdeckung für Akkuaufnahme</v>
          </cell>
          <cell r="C3581">
            <v>0</v>
          </cell>
          <cell r="D3581">
            <v>8</v>
          </cell>
        </row>
        <row r="3582">
          <cell r="A3582">
            <v>9827086</v>
          </cell>
          <cell r="B3582" t="str">
            <v>Kühlkörper USV</v>
          </cell>
          <cell r="C3582">
            <v>0</v>
          </cell>
          <cell r="D3582">
            <v>9</v>
          </cell>
        </row>
        <row r="3583">
          <cell r="A3583">
            <v>9827087</v>
          </cell>
          <cell r="B3583" t="str">
            <v>AESCU.certus IP65 Abdeckung</v>
          </cell>
          <cell r="C3583">
            <v>4</v>
          </cell>
          <cell r="D3583">
            <v>66.599999999999994</v>
          </cell>
        </row>
        <row r="3584">
          <cell r="A3584">
            <v>9827088</v>
          </cell>
          <cell r="B3584" t="str">
            <v>AESCU.certus IP65 Abdeckung Rückseite modifiziert</v>
          </cell>
          <cell r="C3584">
            <v>9</v>
          </cell>
          <cell r="D3584">
            <v>70.55</v>
          </cell>
        </row>
        <row r="3585">
          <cell r="A3585">
            <v>9827090</v>
          </cell>
          <cell r="B3585" t="str">
            <v>Gehäuse AC2 Riserkartenhalter</v>
          </cell>
          <cell r="C3585">
            <v>36</v>
          </cell>
          <cell r="D3585">
            <v>7.8</v>
          </cell>
        </row>
        <row r="3586">
          <cell r="A3586">
            <v>9827091</v>
          </cell>
          <cell r="B3586" t="str">
            <v>Gehäuse AC1 RS232 Isolator Kabel COM1</v>
          </cell>
          <cell r="C3586">
            <v>6</v>
          </cell>
          <cell r="D3586">
            <v>37</v>
          </cell>
        </row>
        <row r="3587">
          <cell r="A3587">
            <v>9827100</v>
          </cell>
          <cell r="B3587" t="str">
            <v>Systemboard DFI HR100-CRM</v>
          </cell>
          <cell r="C3587">
            <v>26</v>
          </cell>
          <cell r="D3587">
            <v>205</v>
          </cell>
        </row>
        <row r="3588">
          <cell r="A3588">
            <v>9827101</v>
          </cell>
          <cell r="B3588" t="str">
            <v>Gehäuse AC2 Kühlkörper Chipsatz QM67</v>
          </cell>
          <cell r="C3588">
            <v>47</v>
          </cell>
          <cell r="D3588">
            <v>12</v>
          </cell>
        </row>
        <row r="3589">
          <cell r="A3589">
            <v>9827102</v>
          </cell>
          <cell r="B3589" t="str">
            <v>Gehäuse AC2 Blindblech X1</v>
          </cell>
          <cell r="C3589">
            <v>37</v>
          </cell>
          <cell r="D3589">
            <v>1</v>
          </cell>
        </row>
        <row r="3590">
          <cell r="A3590">
            <v>9827104</v>
          </cell>
          <cell r="B3590" t="str">
            <v>Gehäuse AC2 Aufnahemplatte CPU Kühlung i5</v>
          </cell>
          <cell r="C3590">
            <v>26</v>
          </cell>
          <cell r="D3590">
            <v>4.5</v>
          </cell>
        </row>
        <row r="3591">
          <cell r="A3591">
            <v>9827105</v>
          </cell>
          <cell r="B3591" t="str">
            <v>Gehäuse AC2 Sicherungsring RS4 mit Nut</v>
          </cell>
          <cell r="C3591">
            <v>153</v>
          </cell>
          <cell r="D3591">
            <v>0.1</v>
          </cell>
        </row>
        <row r="3592">
          <cell r="A3592">
            <v>9827107</v>
          </cell>
          <cell r="B3592" t="str">
            <v>Gehäuse AC2 Gehäusedeckel</v>
          </cell>
          <cell r="C3592">
            <v>35</v>
          </cell>
          <cell r="D3592">
            <v>79.45</v>
          </cell>
        </row>
        <row r="3593">
          <cell r="A3593">
            <v>9827108</v>
          </cell>
          <cell r="B3593" t="str">
            <v>Gehäuse AC2 Innenblech</v>
          </cell>
          <cell r="C3593">
            <v>36</v>
          </cell>
          <cell r="D3593">
            <v>21</v>
          </cell>
        </row>
        <row r="3594">
          <cell r="A3594">
            <v>9827109</v>
          </cell>
          <cell r="B3594" t="str">
            <v>Gehäuse AC2  Folientastatur</v>
          </cell>
          <cell r="C3594">
            <v>17</v>
          </cell>
          <cell r="D3594">
            <v>12</v>
          </cell>
        </row>
        <row r="3595">
          <cell r="A3595">
            <v>9827110</v>
          </cell>
          <cell r="B3595" t="str">
            <v>Gehäuse AC2 Unterteil</v>
          </cell>
          <cell r="C3595">
            <v>36</v>
          </cell>
          <cell r="D3595">
            <v>88.4</v>
          </cell>
        </row>
        <row r="3596">
          <cell r="A3596">
            <v>9827111</v>
          </cell>
          <cell r="B3596" t="str">
            <v>Gehäuse AC2 Wandleraufnahmeschale</v>
          </cell>
          <cell r="C3596">
            <v>28</v>
          </cell>
          <cell r="D3596">
            <v>5</v>
          </cell>
        </row>
        <row r="3597">
          <cell r="A3597">
            <v>9827112</v>
          </cell>
          <cell r="B3597" t="str">
            <v>Gehäuse AC2 Wandlerdeckel</v>
          </cell>
          <cell r="C3597">
            <v>36</v>
          </cell>
          <cell r="D3597">
            <v>4</v>
          </cell>
        </row>
        <row r="3598">
          <cell r="A3598">
            <v>9827113</v>
          </cell>
          <cell r="B3598" t="str">
            <v>Gehäuse AC2 Folie Unterschale MED Wandler ATV 280</v>
          </cell>
          <cell r="C3598">
            <v>32</v>
          </cell>
          <cell r="D3598">
            <v>1</v>
          </cell>
        </row>
        <row r="3599">
          <cell r="A3599">
            <v>9827115</v>
          </cell>
          <cell r="B3599" t="str">
            <v>RS232 Aufnahme für ES&amp;S</v>
          </cell>
          <cell r="C3599">
            <v>15</v>
          </cell>
          <cell r="D3599">
            <v>21</v>
          </cell>
        </row>
        <row r="3600">
          <cell r="A3600">
            <v>9827116</v>
          </cell>
          <cell r="B3600" t="str">
            <v>Stromkompensierende Drossel</v>
          </cell>
          <cell r="C3600">
            <v>0</v>
          </cell>
          <cell r="D3600">
            <v>2</v>
          </cell>
        </row>
        <row r="3601">
          <cell r="A3601">
            <v>9827117</v>
          </cell>
          <cell r="B3601" t="str">
            <v>Gehäuse AC2 Blindblech X2</v>
          </cell>
          <cell r="C3601">
            <v>116</v>
          </cell>
          <cell r="D3601">
            <v>1</v>
          </cell>
        </row>
        <row r="3602">
          <cell r="A3602">
            <v>9827118</v>
          </cell>
          <cell r="B3602" t="str">
            <v>Gehäuse AC2 USB Blech X1</v>
          </cell>
          <cell r="C3602">
            <v>27</v>
          </cell>
          <cell r="D3602">
            <v>1</v>
          </cell>
        </row>
        <row r="3603">
          <cell r="A3603">
            <v>9827421</v>
          </cell>
          <cell r="B3603" t="str">
            <v>HISTO Label "Do not push"</v>
          </cell>
          <cell r="C3603">
            <v>0</v>
          </cell>
          <cell r="D3603">
            <v>0.4</v>
          </cell>
        </row>
        <row r="3604">
          <cell r="A3604">
            <v>9827422</v>
          </cell>
          <cell r="B3604" t="str">
            <v>Trockenmittelbeutel 150x160mm</v>
          </cell>
          <cell r="C3604">
            <v>372</v>
          </cell>
          <cell r="D3604">
            <v>1.1000000000000001</v>
          </cell>
        </row>
        <row r="3605">
          <cell r="A3605">
            <v>9827423</v>
          </cell>
          <cell r="B3605" t="str">
            <v>Aufkleber "Class 1 Laser Product" 13x25mm FUSION</v>
          </cell>
          <cell r="C3605">
            <v>344</v>
          </cell>
          <cell r="D3605">
            <v>0.6</v>
          </cell>
        </row>
        <row r="3606">
          <cell r="A3606">
            <v>9828000</v>
          </cell>
          <cell r="B3606" t="str">
            <v>CLIN Kabel#1 KPJX-PM-4S=&gt;Molex 43645-0300 2x</v>
          </cell>
          <cell r="C3606">
            <v>0</v>
          </cell>
          <cell r="D3606">
            <v>21.5</v>
          </cell>
        </row>
        <row r="3607">
          <cell r="A3607">
            <v>9828001</v>
          </cell>
          <cell r="B3607" t="str">
            <v>CLIN Kabel#2 L712A=&gt;Molex 43645-0300</v>
          </cell>
          <cell r="C3607">
            <v>0</v>
          </cell>
          <cell r="D3607">
            <v>18.5</v>
          </cell>
        </row>
        <row r="3608">
          <cell r="A3608">
            <v>9828002</v>
          </cell>
          <cell r="B3608" t="str">
            <v>CLIN Kabel#3 Patchk.S/FTP 1,5m Cat6 RJ45 St.grau</v>
          </cell>
          <cell r="C3608">
            <v>0</v>
          </cell>
          <cell r="D3608">
            <v>1.48</v>
          </cell>
        </row>
        <row r="3609">
          <cell r="A3609">
            <v>9828003</v>
          </cell>
          <cell r="B3609" t="str">
            <v>CLIN Kabel#4 USB-Kabel 2.0 1,5m A-St/B-St</v>
          </cell>
          <cell r="C3609">
            <v>0</v>
          </cell>
          <cell r="D3609">
            <v>1</v>
          </cell>
        </row>
        <row r="3610">
          <cell r="A3610">
            <v>9828004</v>
          </cell>
          <cell r="B3610" t="str">
            <v>CLIN Kabel#7 USB auf Centronics 1,0m</v>
          </cell>
          <cell r="C3610">
            <v>0</v>
          </cell>
          <cell r="D3610">
            <v>16.63</v>
          </cell>
        </row>
        <row r="3611">
          <cell r="A3611">
            <v>9828005</v>
          </cell>
          <cell r="B3611" t="str">
            <v>CLIN Kabel#8 Centronicseinbaub.Molex 51110-0660</v>
          </cell>
          <cell r="C3611">
            <v>0</v>
          </cell>
          <cell r="D3611">
            <v>4.7</v>
          </cell>
        </row>
        <row r="3612">
          <cell r="A3612">
            <v>9828006</v>
          </cell>
          <cell r="B3612" t="str">
            <v>CLIN ProCart AMD KU.0608.903</v>
          </cell>
          <cell r="C3612">
            <v>0</v>
          </cell>
          <cell r="D3612">
            <v>2350</v>
          </cell>
        </row>
        <row r="3613">
          <cell r="A3613">
            <v>9828008</v>
          </cell>
          <cell r="B3613" t="str">
            <v>Cable Power Cord Hospital Grade 110V, 1,8 METER</v>
          </cell>
          <cell r="C3613">
            <v>0</v>
          </cell>
          <cell r="D3613">
            <v>7</v>
          </cell>
        </row>
        <row r="3614">
          <cell r="A3614">
            <v>9828009</v>
          </cell>
          <cell r="B3614" t="str">
            <v>CLIN Ultrasound Engine</v>
          </cell>
          <cell r="C3614">
            <v>0</v>
          </cell>
          <cell r="D3614">
            <v>0</v>
          </cell>
        </row>
        <row r="3615">
          <cell r="A3615">
            <v>9828010</v>
          </cell>
          <cell r="B3615" t="str">
            <v>CLIN Probe Interface Box</v>
          </cell>
          <cell r="C3615">
            <v>0</v>
          </cell>
          <cell r="D3615">
            <v>0</v>
          </cell>
        </row>
        <row r="3616">
          <cell r="A3616">
            <v>9828011</v>
          </cell>
          <cell r="B3616" t="str">
            <v>CLIN Probe Motor Controller PCB</v>
          </cell>
          <cell r="C3616">
            <v>0</v>
          </cell>
          <cell r="D3616">
            <v>0</v>
          </cell>
        </row>
        <row r="3617">
          <cell r="A3617">
            <v>9828012</v>
          </cell>
          <cell r="B3617" t="str">
            <v>CLIN Cable Probe Motor PCB to Frontpanel</v>
          </cell>
          <cell r="C3617">
            <v>0</v>
          </cell>
          <cell r="D3617">
            <v>0</v>
          </cell>
        </row>
        <row r="3618">
          <cell r="A3618">
            <v>9828500</v>
          </cell>
          <cell r="B3618" t="str">
            <v>Adapter DVI auf VGA</v>
          </cell>
          <cell r="C3618">
            <v>37</v>
          </cell>
          <cell r="D3618">
            <v>2.17</v>
          </cell>
        </row>
        <row r="3619">
          <cell r="A3619">
            <v>9828501</v>
          </cell>
          <cell r="B3619" t="str">
            <v>Staubschutz DVI</v>
          </cell>
          <cell r="C3619">
            <v>51</v>
          </cell>
          <cell r="D3619">
            <v>0.13</v>
          </cell>
        </row>
        <row r="3620">
          <cell r="A3620">
            <v>9828502</v>
          </cell>
          <cell r="B3620" t="str">
            <v>Aufkleber NVS SmartScreen</v>
          </cell>
          <cell r="C3620">
            <v>86</v>
          </cell>
          <cell r="D3620">
            <v>2.58</v>
          </cell>
        </row>
        <row r="3621">
          <cell r="A3621">
            <v>9829000</v>
          </cell>
          <cell r="B3621" t="str">
            <v>Preinst WIN XP PRO DUTCH</v>
          </cell>
          <cell r="C3621">
            <v>0</v>
          </cell>
          <cell r="D3621">
            <v>105</v>
          </cell>
        </row>
        <row r="3622">
          <cell r="A3622">
            <v>9829001</v>
          </cell>
          <cell r="B3622" t="str">
            <v>Tulip MS Manual WIN XP PRO FRENCH</v>
          </cell>
          <cell r="C3622">
            <v>0</v>
          </cell>
          <cell r="D3622">
            <v>1</v>
          </cell>
        </row>
        <row r="3623">
          <cell r="A3623">
            <v>9829002</v>
          </cell>
          <cell r="B3623" t="str">
            <v xml:space="preserve"> MS Manual WIN XP PRO GERMAN</v>
          </cell>
          <cell r="C3623">
            <v>0</v>
          </cell>
          <cell r="D3623">
            <v>1</v>
          </cell>
        </row>
        <row r="3624">
          <cell r="A3624">
            <v>9829003</v>
          </cell>
          <cell r="B3624" t="str">
            <v>Tulip MS Manual WIN XP PRO ITALIAN</v>
          </cell>
          <cell r="C3624">
            <v>0</v>
          </cell>
          <cell r="D3624">
            <v>1</v>
          </cell>
        </row>
        <row r="3625">
          <cell r="A3625">
            <v>9829004</v>
          </cell>
          <cell r="B3625" t="str">
            <v xml:space="preserve"> MS Manual WIN XP PRO ENGLISH</v>
          </cell>
          <cell r="C3625">
            <v>0</v>
          </cell>
          <cell r="D3625">
            <v>1</v>
          </cell>
        </row>
        <row r="3626">
          <cell r="A3626">
            <v>9829006</v>
          </cell>
          <cell r="B3626" t="str">
            <v>Tulip MS Rec. CD WIN XP PRO FRENCH</v>
          </cell>
          <cell r="C3626">
            <v>0</v>
          </cell>
          <cell r="D3626">
            <v>1</v>
          </cell>
        </row>
        <row r="3627">
          <cell r="A3627">
            <v>9829007</v>
          </cell>
          <cell r="B3627" t="str">
            <v>MS Rec. CD WIN XP PRO GERMAN</v>
          </cell>
          <cell r="C3627">
            <v>0</v>
          </cell>
          <cell r="D3627">
            <v>1</v>
          </cell>
        </row>
        <row r="3628">
          <cell r="A3628">
            <v>9829008</v>
          </cell>
          <cell r="B3628" t="str">
            <v xml:space="preserve"> MS Rec. CD WIN XP PRO ENGLISH</v>
          </cell>
          <cell r="C3628">
            <v>0</v>
          </cell>
          <cell r="D3628">
            <v>1</v>
          </cell>
        </row>
        <row r="3629">
          <cell r="A3629">
            <v>9829050</v>
          </cell>
          <cell r="B3629" t="str">
            <v>Tulip MS Manual WIN XP HOME DUTCH</v>
          </cell>
          <cell r="C3629">
            <v>0</v>
          </cell>
          <cell r="D3629">
            <v>64</v>
          </cell>
        </row>
        <row r="3630">
          <cell r="A3630">
            <v>9829051</v>
          </cell>
          <cell r="B3630" t="str">
            <v>Tulip MS Manual WIN XP HOME FRENCH</v>
          </cell>
          <cell r="C3630">
            <v>0</v>
          </cell>
          <cell r="D3630">
            <v>64</v>
          </cell>
        </row>
        <row r="3631">
          <cell r="A3631">
            <v>9829052</v>
          </cell>
          <cell r="B3631" t="str">
            <v>Tulip MS Manual WIN XP HOME GERMAN</v>
          </cell>
          <cell r="C3631">
            <v>0</v>
          </cell>
          <cell r="D3631">
            <v>64</v>
          </cell>
        </row>
        <row r="3632">
          <cell r="A3632">
            <v>9829053</v>
          </cell>
          <cell r="B3632" t="str">
            <v>Tulip MS Manual WIN XP HOME ITALIAN</v>
          </cell>
          <cell r="C3632">
            <v>0</v>
          </cell>
          <cell r="D3632">
            <v>64</v>
          </cell>
        </row>
        <row r="3633">
          <cell r="A3633">
            <v>9829054</v>
          </cell>
          <cell r="B3633" t="str">
            <v>Tulip MS Manual WIN XP HOME ENGLISH</v>
          </cell>
          <cell r="C3633">
            <v>0</v>
          </cell>
          <cell r="D3633">
            <v>64</v>
          </cell>
        </row>
        <row r="3634">
          <cell r="A3634">
            <v>9829057</v>
          </cell>
          <cell r="B3634" t="str">
            <v>Tulip MS Rec. CD WIN XP HOME GERMAN</v>
          </cell>
          <cell r="C3634">
            <v>0</v>
          </cell>
          <cell r="D3634">
            <v>1</v>
          </cell>
        </row>
        <row r="3635">
          <cell r="A3635">
            <v>9829064</v>
          </cell>
          <cell r="B3635" t="str">
            <v>Tulip MS Office XP SBE German DSP  1Pack</v>
          </cell>
          <cell r="C3635">
            <v>0</v>
          </cell>
          <cell r="D3635">
            <v>165</v>
          </cell>
        </row>
        <row r="3636">
          <cell r="A3636">
            <v>9829071</v>
          </cell>
          <cell r="B3636" t="str">
            <v xml:space="preserve"> MS LICENSE WIN XP PRO / SN</v>
          </cell>
          <cell r="C3636">
            <v>0</v>
          </cell>
          <cell r="D3636">
            <v>99</v>
          </cell>
        </row>
        <row r="3637">
          <cell r="A3637">
            <v>9829072</v>
          </cell>
          <cell r="B3637" t="str">
            <v>Tulip MS LICENSE WIN XP HOME / SN</v>
          </cell>
          <cell r="C3637">
            <v>0</v>
          </cell>
          <cell r="D3637">
            <v>60</v>
          </cell>
        </row>
        <row r="3638">
          <cell r="A3638">
            <v>9829073</v>
          </cell>
          <cell r="B3638" t="str">
            <v>Selbstsichernde Mutter M5 / VA</v>
          </cell>
          <cell r="C3638">
            <v>1100</v>
          </cell>
          <cell r="D3638">
            <v>0</v>
          </cell>
        </row>
        <row r="3639">
          <cell r="A3639">
            <v>9840000</v>
          </cell>
          <cell r="B3639" t="str">
            <v>Schraube UNC 6/32</v>
          </cell>
          <cell r="C3639">
            <v>12200</v>
          </cell>
          <cell r="D3639">
            <v>0.05</v>
          </cell>
        </row>
        <row r="3640">
          <cell r="A3640">
            <v>9840001</v>
          </cell>
          <cell r="B3640" t="str">
            <v>Schraube UNC 6/32x7.4mm</v>
          </cell>
          <cell r="C3640">
            <v>25853</v>
          </cell>
          <cell r="D3640">
            <v>0.05</v>
          </cell>
        </row>
        <row r="3641">
          <cell r="A3641">
            <v>9840002</v>
          </cell>
          <cell r="B3641" t="str">
            <v>Schraube UNC6/32 0.19" HDD</v>
          </cell>
          <cell r="C3641">
            <v>25278</v>
          </cell>
          <cell r="D3641">
            <v>0.05</v>
          </cell>
        </row>
        <row r="3642">
          <cell r="A3642" t="str">
            <v>9900001M</v>
          </cell>
          <cell r="B3642" t="str">
            <v>MCD Medical Line AESCU.certus</v>
          </cell>
          <cell r="C3642">
            <v>0</v>
          </cell>
          <cell r="D3642">
            <v>1377.1</v>
          </cell>
        </row>
        <row r="3643">
          <cell r="A3643" t="str">
            <v>99000022M</v>
          </cell>
          <cell r="B3643" t="str">
            <v>Gehäuse STORZ - HD Connect 40 mm</v>
          </cell>
          <cell r="C3643">
            <v>0</v>
          </cell>
          <cell r="D3643">
            <v>368</v>
          </cell>
        </row>
        <row r="3644">
          <cell r="A3644" t="str">
            <v>9900002M</v>
          </cell>
          <cell r="B3644" t="str">
            <v>Itochu Embedded Desktop System</v>
          </cell>
          <cell r="C3644">
            <v>0</v>
          </cell>
          <cell r="D3644">
            <v>0</v>
          </cell>
        </row>
        <row r="3645">
          <cell r="A3645" t="str">
            <v>9900003M</v>
          </cell>
          <cell r="B3645" t="str">
            <v>Itochu Embedded Mini-Tower System</v>
          </cell>
          <cell r="C3645">
            <v>0</v>
          </cell>
          <cell r="D3645">
            <v>0</v>
          </cell>
        </row>
        <row r="3646">
          <cell r="A3646" t="str">
            <v>9900004M</v>
          </cell>
          <cell r="B3646" t="str">
            <v>ICN-1100 Medical Desktop</v>
          </cell>
          <cell r="C3646">
            <v>0</v>
          </cell>
          <cell r="D3646">
            <v>339</v>
          </cell>
        </row>
        <row r="3647">
          <cell r="A3647" t="str">
            <v>9900005M</v>
          </cell>
          <cell r="B3647" t="str">
            <v>SONY Medical Desktop Sample</v>
          </cell>
          <cell r="C3647">
            <v>0</v>
          </cell>
          <cell r="D3647">
            <v>1050</v>
          </cell>
        </row>
        <row r="3648">
          <cell r="A3648" t="str">
            <v>9900006M</v>
          </cell>
          <cell r="B3648" t="str">
            <v>XION-MATRIX-DS</v>
          </cell>
          <cell r="C3648">
            <v>0</v>
          </cell>
          <cell r="D3648">
            <v>0</v>
          </cell>
        </row>
        <row r="3649">
          <cell r="A3649" t="str">
            <v>9900007M</v>
          </cell>
          <cell r="B3649" t="str">
            <v>MCD Medical Line PANA.ceia Sample</v>
          </cell>
          <cell r="C3649">
            <v>0</v>
          </cell>
          <cell r="D3649">
            <v>588</v>
          </cell>
        </row>
        <row r="3650">
          <cell r="A3650" t="str">
            <v>9900008M</v>
          </cell>
          <cell r="B3650" t="str">
            <v>MCD Medical Line PANA.ceia</v>
          </cell>
          <cell r="C3650">
            <v>0</v>
          </cell>
          <cell r="D3650">
            <v>690</v>
          </cell>
        </row>
        <row r="3651">
          <cell r="A3651" t="str">
            <v>9900009M</v>
          </cell>
          <cell r="B3651" t="str">
            <v>Basis Modell KS AIDA control II 20046020</v>
          </cell>
          <cell r="C3651">
            <v>0</v>
          </cell>
          <cell r="D3651">
            <v>567</v>
          </cell>
        </row>
        <row r="3652">
          <cell r="A3652" t="str">
            <v>9900010M</v>
          </cell>
          <cell r="B3652" t="str">
            <v>Sample Karl Storz AIDA control 20046020</v>
          </cell>
          <cell r="C3652">
            <v>0</v>
          </cell>
          <cell r="D3652">
            <v>1310</v>
          </cell>
        </row>
        <row r="3653">
          <cell r="A3653" t="str">
            <v>9900011M</v>
          </cell>
          <cell r="B3653" t="str">
            <v>MCD Medical Line PANA.ceia</v>
          </cell>
          <cell r="C3653">
            <v>0</v>
          </cell>
          <cell r="D3653">
            <v>0</v>
          </cell>
        </row>
        <row r="3654">
          <cell r="A3654" t="str">
            <v>9900012M</v>
          </cell>
          <cell r="B3654" t="str">
            <v>Thin Client Medistar - Patiententerminal</v>
          </cell>
          <cell r="C3654">
            <v>0</v>
          </cell>
          <cell r="D3654">
            <v>0</v>
          </cell>
        </row>
        <row r="3655">
          <cell r="A3655" t="str">
            <v>9900013M</v>
          </cell>
          <cell r="B3655" t="str">
            <v>AMD XM Technology Sample</v>
          </cell>
          <cell r="C3655">
            <v>0</v>
          </cell>
          <cell r="D3655">
            <v>922</v>
          </cell>
        </row>
        <row r="3656">
          <cell r="A3656" t="str">
            <v>9900014M</v>
          </cell>
          <cell r="B3656" t="str">
            <v>Medical Cardio-PC Schiller DS 104</v>
          </cell>
          <cell r="C3656">
            <v>0</v>
          </cell>
          <cell r="D3656">
            <v>709</v>
          </cell>
        </row>
        <row r="3657">
          <cell r="A3657" t="str">
            <v>9900015M</v>
          </cell>
          <cell r="B3657" t="str">
            <v>Medical Cardio-PC Schiller DS 104-Ergospiro</v>
          </cell>
          <cell r="C3657">
            <v>0</v>
          </cell>
          <cell r="D3657">
            <v>0</v>
          </cell>
        </row>
        <row r="3658">
          <cell r="A3658" t="str">
            <v>9900016M</v>
          </cell>
          <cell r="B3658" t="str">
            <v>Medistar Patiententerminal-Stand-TeleCash</v>
          </cell>
          <cell r="C3658">
            <v>0</v>
          </cell>
          <cell r="D3658">
            <v>0</v>
          </cell>
        </row>
        <row r="3659">
          <cell r="A3659" t="str">
            <v>9900017M</v>
          </cell>
          <cell r="B3659" t="str">
            <v>Medistar Patiententerminal-Wand-TeleCash</v>
          </cell>
          <cell r="C3659">
            <v>0</v>
          </cell>
          <cell r="D3659">
            <v>0</v>
          </cell>
        </row>
        <row r="3660">
          <cell r="A3660" t="str">
            <v>9900018M</v>
          </cell>
          <cell r="B3660" t="str">
            <v>MCD Medical Line PANA.ceia_Bechtle_Entry</v>
          </cell>
          <cell r="C3660">
            <v>0</v>
          </cell>
          <cell r="D3660">
            <v>656.88</v>
          </cell>
        </row>
        <row r="3661">
          <cell r="A3661" t="str">
            <v>9900019M</v>
          </cell>
          <cell r="B3661" t="str">
            <v>Karl Storz 19" AV Control</v>
          </cell>
          <cell r="C3661">
            <v>0</v>
          </cell>
          <cell r="D3661">
            <v>544.48</v>
          </cell>
        </row>
        <row r="3662">
          <cell r="A3662" t="str">
            <v>9900020M</v>
          </cell>
          <cell r="B3662" t="str">
            <v>HistoScanning Workstation</v>
          </cell>
          <cell r="C3662">
            <v>0</v>
          </cell>
          <cell r="D3662">
            <v>3110</v>
          </cell>
        </row>
        <row r="3663">
          <cell r="A3663" t="str">
            <v>9900020M_F</v>
          </cell>
          <cell r="B3663" t="str">
            <v>HistoScanning Workstation</v>
          </cell>
          <cell r="C3663">
            <v>0</v>
          </cell>
          <cell r="D3663">
            <v>0</v>
          </cell>
        </row>
        <row r="3664">
          <cell r="A3664" t="str">
            <v>9900020M_G</v>
          </cell>
          <cell r="B3664" t="str">
            <v>HistoScanning Workstation</v>
          </cell>
          <cell r="C3664">
            <v>0</v>
          </cell>
          <cell r="D3664">
            <v>1498.2</v>
          </cell>
        </row>
        <row r="3665">
          <cell r="A3665" t="str">
            <v>9900021M</v>
          </cell>
          <cell r="B3665" t="str">
            <v>HistoScanning PC Workstation 2.0 X-Sol.</v>
          </cell>
          <cell r="C3665">
            <v>0</v>
          </cell>
          <cell r="D3665">
            <v>1500</v>
          </cell>
        </row>
        <row r="3666">
          <cell r="A3666" t="str">
            <v>9900021M_F</v>
          </cell>
          <cell r="B3666" t="str">
            <v>HistoScanning PC Workstation 2.0 X-Sol.</v>
          </cell>
          <cell r="C3666">
            <v>0</v>
          </cell>
          <cell r="D3666">
            <v>0</v>
          </cell>
        </row>
        <row r="3667">
          <cell r="A3667" t="str">
            <v>9900021M_G</v>
          </cell>
          <cell r="B3667" t="str">
            <v>HistoScanning PC Workstation 2.0 X-Sol.</v>
          </cell>
          <cell r="C3667">
            <v>0</v>
          </cell>
          <cell r="D3667">
            <v>1436.52</v>
          </cell>
        </row>
        <row r="3668">
          <cell r="A3668" t="str">
            <v>9900022M</v>
          </cell>
          <cell r="B3668" t="str">
            <v>Basis Modell BT 151 Promo</v>
          </cell>
          <cell r="C3668">
            <v>0</v>
          </cell>
          <cell r="D3668">
            <v>309</v>
          </cell>
        </row>
        <row r="3669">
          <cell r="A3669" t="str">
            <v>9900023M</v>
          </cell>
          <cell r="B3669" t="str">
            <v>WAGNER_Medical Line PANA.ceia</v>
          </cell>
          <cell r="C3669">
            <v>0</v>
          </cell>
          <cell r="D3669">
            <v>700</v>
          </cell>
        </row>
        <row r="3670">
          <cell r="A3670" t="str">
            <v>9900025M</v>
          </cell>
          <cell r="B3670" t="str">
            <v>Medistar Patiententerminal-Stand-ohne EC</v>
          </cell>
          <cell r="C3670">
            <v>0</v>
          </cell>
          <cell r="D3670">
            <v>0</v>
          </cell>
        </row>
        <row r="3671">
          <cell r="A3671" t="str">
            <v>9900026M</v>
          </cell>
          <cell r="B3671" t="str">
            <v>Medistar Patiententerminal-Wand-ohne EC</v>
          </cell>
          <cell r="C3671">
            <v>0</v>
          </cell>
          <cell r="D3671">
            <v>0</v>
          </cell>
        </row>
        <row r="3672">
          <cell r="A3672" t="str">
            <v>9900027M</v>
          </cell>
          <cell r="B3672" t="str">
            <v>KSI Aida HD connect 202055 20, Proto#1</v>
          </cell>
          <cell r="C3672">
            <v>0</v>
          </cell>
          <cell r="D3672">
            <v>400</v>
          </cell>
        </row>
        <row r="3673">
          <cell r="A3673" t="str">
            <v>9900028M</v>
          </cell>
          <cell r="B3673" t="str">
            <v>Basis Modell KS OR1 control  20097020-1</v>
          </cell>
          <cell r="C3673">
            <v>0</v>
          </cell>
          <cell r="D3673">
            <v>980</v>
          </cell>
        </row>
        <row r="3674">
          <cell r="A3674" t="str">
            <v>9900029M</v>
          </cell>
          <cell r="B3674" t="str">
            <v>Parexel_Medical Line AESCU.certus</v>
          </cell>
          <cell r="C3674">
            <v>0</v>
          </cell>
          <cell r="D3674">
            <v>1217.22</v>
          </cell>
        </row>
        <row r="3675">
          <cell r="A3675" t="str">
            <v>9900030M</v>
          </cell>
          <cell r="B3675" t="str">
            <v>MCD Medical Line AESCU.certus_Bechtle</v>
          </cell>
          <cell r="C3675">
            <v>0</v>
          </cell>
          <cell r="D3675">
            <v>0</v>
          </cell>
        </row>
        <row r="3676">
          <cell r="A3676" t="str">
            <v>9900031M</v>
          </cell>
          <cell r="B3676" t="str">
            <v>Sample Karl Storz AIDA S³ - 27020901</v>
          </cell>
          <cell r="C3676">
            <v>0</v>
          </cell>
          <cell r="D3676">
            <v>1100</v>
          </cell>
        </row>
        <row r="3677">
          <cell r="A3677" t="str">
            <v>9900032M</v>
          </cell>
          <cell r="B3677" t="str">
            <v>Sample Karl Storz AIDA S³ - 12020901</v>
          </cell>
          <cell r="C3677">
            <v>0</v>
          </cell>
          <cell r="D3677">
            <v>1100</v>
          </cell>
        </row>
        <row r="3678">
          <cell r="A3678" t="str">
            <v>9900033M</v>
          </cell>
          <cell r="B3678" t="str">
            <v>Karl Storz Prototyp OR1 - Radisys</v>
          </cell>
          <cell r="C3678">
            <v>0</v>
          </cell>
          <cell r="D3678">
            <v>1000</v>
          </cell>
        </row>
        <row r="3679">
          <cell r="A3679" t="str">
            <v>9900034M</v>
          </cell>
          <cell r="B3679" t="str">
            <v>MCD Medical Line AESCU.certus</v>
          </cell>
          <cell r="C3679">
            <v>0</v>
          </cell>
          <cell r="D3679">
            <v>0</v>
          </cell>
        </row>
        <row r="3680">
          <cell r="A3680" t="str">
            <v>9900035M</v>
          </cell>
          <cell r="B3680" t="str">
            <v>MCD Medical Line PANA.ceia - ICN</v>
          </cell>
          <cell r="C3680">
            <v>0</v>
          </cell>
          <cell r="D3680">
            <v>660</v>
          </cell>
        </row>
        <row r="3681">
          <cell r="A3681" t="str">
            <v>9900036M</v>
          </cell>
          <cell r="B3681" t="str">
            <v>KSI SmartScreen, Proto#1</v>
          </cell>
          <cell r="C3681">
            <v>0</v>
          </cell>
          <cell r="D3681">
            <v>1600</v>
          </cell>
        </row>
        <row r="3682">
          <cell r="A3682" t="str">
            <v>9900037M</v>
          </cell>
          <cell r="B3682" t="str">
            <v>SUBASSY MB/CPU/CPU-COOLER/MEM AIDA HD CONNECT</v>
          </cell>
          <cell r="C3682">
            <v>0</v>
          </cell>
          <cell r="D3682">
            <v>0</v>
          </cell>
        </row>
        <row r="3683">
          <cell r="A3683" t="str">
            <v>9900038M</v>
          </cell>
          <cell r="B3683" t="str">
            <v>Karl Storz AIDA S³ Proto</v>
          </cell>
          <cell r="C3683">
            <v>0</v>
          </cell>
          <cell r="D3683">
            <v>1665</v>
          </cell>
        </row>
        <row r="3684">
          <cell r="A3684" t="str">
            <v>9900039M</v>
          </cell>
          <cell r="B3684" t="str">
            <v>Karl Storz AIDA S³ Proto</v>
          </cell>
          <cell r="C3684">
            <v>0</v>
          </cell>
          <cell r="D3684">
            <v>1665</v>
          </cell>
        </row>
        <row r="3685">
          <cell r="A3685" t="str">
            <v>9900040M</v>
          </cell>
          <cell r="B3685" t="str">
            <v>Itochu Midi-Tower System</v>
          </cell>
          <cell r="C3685">
            <v>0</v>
          </cell>
          <cell r="D3685">
            <v>682</v>
          </cell>
        </row>
        <row r="3686">
          <cell r="A3686" t="str">
            <v>9900041M</v>
          </cell>
          <cell r="B3686" t="str">
            <v>Alphatron Medical Line PANA.ceia</v>
          </cell>
          <cell r="C3686">
            <v>0</v>
          </cell>
          <cell r="D3686">
            <v>0</v>
          </cell>
        </row>
        <row r="3687">
          <cell r="A3687" t="str">
            <v>9900042M</v>
          </cell>
          <cell r="B3687" t="str">
            <v>MCD Medical Line AESCU.certus E&amp;L</v>
          </cell>
          <cell r="C3687">
            <v>0</v>
          </cell>
          <cell r="D3687">
            <v>0</v>
          </cell>
        </row>
        <row r="3688">
          <cell r="A3688" t="str">
            <v>9900043M</v>
          </cell>
          <cell r="B3688" t="str">
            <v>MCD Medical Line PANA.ceia_Bechtle_High</v>
          </cell>
          <cell r="C3688">
            <v>0</v>
          </cell>
          <cell r="D3688">
            <v>992.26</v>
          </cell>
        </row>
        <row r="3689">
          <cell r="A3689" t="str">
            <v>9900044M</v>
          </cell>
          <cell r="B3689" t="str">
            <v>KARL STORZ AIDA control III 20046120 Prototyp</v>
          </cell>
          <cell r="C3689">
            <v>0</v>
          </cell>
          <cell r="D3689">
            <v>1349</v>
          </cell>
        </row>
        <row r="3690">
          <cell r="A3690" t="str">
            <v>9900045M</v>
          </cell>
          <cell r="B3690" t="str">
            <v>KARL STORZ AIDA control III 20046220 Prototyp</v>
          </cell>
          <cell r="C3690">
            <v>0</v>
          </cell>
          <cell r="D3690">
            <v>500</v>
          </cell>
        </row>
        <row r="3691">
          <cell r="A3691" t="str">
            <v>9900046M</v>
          </cell>
          <cell r="B3691" t="str">
            <v>MCD AESCU.mobilus m. Akku u. Höhenverstellung</v>
          </cell>
          <cell r="C3691">
            <v>0</v>
          </cell>
          <cell r="D3691">
            <v>4444</v>
          </cell>
        </row>
        <row r="3692">
          <cell r="A3692" t="str">
            <v>9900047M</v>
          </cell>
          <cell r="B3692" t="str">
            <v>MCD AESCU.mobilus m. Akku</v>
          </cell>
          <cell r="C3692">
            <v>0</v>
          </cell>
          <cell r="D3692">
            <v>4152</v>
          </cell>
        </row>
        <row r="3693">
          <cell r="A3693" t="str">
            <v>9900048M</v>
          </cell>
          <cell r="B3693" t="str">
            <v>MCD Medial Line AESCU.mobilus</v>
          </cell>
          <cell r="C3693">
            <v>0</v>
          </cell>
          <cell r="D3693">
            <v>2958</v>
          </cell>
        </row>
        <row r="3694">
          <cell r="A3694" t="str">
            <v>9900049M</v>
          </cell>
          <cell r="B3694" t="str">
            <v>Stryker Testsystem Intel</v>
          </cell>
          <cell r="C3694">
            <v>0</v>
          </cell>
          <cell r="D3694">
            <v>436</v>
          </cell>
        </row>
        <row r="3695">
          <cell r="A3695" t="str">
            <v>9900050M</v>
          </cell>
          <cell r="B3695" t="str">
            <v>Stryker Testsystem Siemens i7 Tower</v>
          </cell>
          <cell r="C3695">
            <v>0</v>
          </cell>
          <cell r="D3695">
            <v>600</v>
          </cell>
        </row>
        <row r="3696">
          <cell r="A3696" t="str">
            <v>9900051M</v>
          </cell>
          <cell r="B3696" t="str">
            <v>Basis Modell KS OR1 control  200971 20-1</v>
          </cell>
          <cell r="C3696">
            <v>0</v>
          </cell>
          <cell r="D3696">
            <v>1090</v>
          </cell>
        </row>
        <row r="3697">
          <cell r="A3697" t="str">
            <v>9900052M</v>
          </cell>
          <cell r="B3697" t="str">
            <v>MCD Medical Line AESCU.certus</v>
          </cell>
          <cell r="C3697">
            <v>0</v>
          </cell>
          <cell r="D3697">
            <v>1315</v>
          </cell>
        </row>
        <row r="3698">
          <cell r="A3698" t="str">
            <v>9900053M</v>
          </cell>
          <cell r="B3698" t="str">
            <v>Thin Client Medistar - Patiententerminal</v>
          </cell>
          <cell r="C3698">
            <v>0</v>
          </cell>
          <cell r="D3698">
            <v>280</v>
          </cell>
        </row>
        <row r="3699">
          <cell r="A3699" t="str">
            <v>9900054M</v>
          </cell>
          <cell r="B3699" t="str">
            <v>MKT Tower i7-920</v>
          </cell>
          <cell r="C3699">
            <v>0</v>
          </cell>
          <cell r="D3699">
            <v>1125.1400000000001</v>
          </cell>
        </row>
        <row r="3700">
          <cell r="A3700" t="str">
            <v>9900055M</v>
          </cell>
          <cell r="B3700" t="str">
            <v>Medical Cardio-PC Schiller DS104</v>
          </cell>
          <cell r="C3700">
            <v>0</v>
          </cell>
          <cell r="D3700">
            <v>873</v>
          </cell>
        </row>
        <row r="3701">
          <cell r="A3701" t="str">
            <v>9900056M</v>
          </cell>
          <cell r="B3701" t="str">
            <v xml:space="preserve"> MCD Vision Line BT Medset 004</v>
          </cell>
          <cell r="C3701">
            <v>0</v>
          </cell>
          <cell r="D3701">
            <v>502</v>
          </cell>
        </row>
        <row r="3702">
          <cell r="A3702" t="str">
            <v>9900057M</v>
          </cell>
          <cell r="B3702" t="str">
            <v>BASE MOD AIDA HD Connect DVD</v>
          </cell>
          <cell r="C3702">
            <v>0</v>
          </cell>
          <cell r="D3702">
            <v>0</v>
          </cell>
        </row>
        <row r="3703">
          <cell r="A3703" t="str">
            <v>9900058M</v>
          </cell>
          <cell r="B3703" t="str">
            <v>AIDA HD Connect Blu-ray</v>
          </cell>
          <cell r="C3703">
            <v>0</v>
          </cell>
          <cell r="D3703">
            <v>3090.62</v>
          </cell>
        </row>
        <row r="3704">
          <cell r="A3704" t="str">
            <v>9900059M</v>
          </cell>
          <cell r="B3704" t="str">
            <v>MKT PANA.ceia</v>
          </cell>
          <cell r="C3704">
            <v>0</v>
          </cell>
          <cell r="D3704">
            <v>880.62</v>
          </cell>
        </row>
        <row r="3705">
          <cell r="A3705" t="str">
            <v>9900060M</v>
          </cell>
          <cell r="B3705" t="str">
            <v>KARL STORZ AIDA control NEO 20046120</v>
          </cell>
          <cell r="C3705">
            <v>0</v>
          </cell>
          <cell r="D3705">
            <v>400</v>
          </cell>
        </row>
        <row r="3706">
          <cell r="A3706" t="str">
            <v>9900061M</v>
          </cell>
          <cell r="B3706" t="str">
            <v>Terra PC303</v>
          </cell>
          <cell r="C3706">
            <v>0</v>
          </cell>
          <cell r="D3706">
            <v>375</v>
          </cell>
        </row>
        <row r="3707">
          <cell r="A3707" t="str">
            <v>9900062M</v>
          </cell>
          <cell r="B3707" t="str">
            <v>MCD Medical Line PANA.ceia Distributed Medical</v>
          </cell>
          <cell r="C3707">
            <v>0</v>
          </cell>
          <cell r="D3707">
            <v>925</v>
          </cell>
        </row>
        <row r="3708">
          <cell r="A3708" t="str">
            <v>9900062M_C</v>
          </cell>
          <cell r="B3708" t="str">
            <v>PANA.ceia Distributed Medical</v>
          </cell>
          <cell r="C3708">
            <v>0</v>
          </cell>
          <cell r="D3708">
            <v>881.18</v>
          </cell>
        </row>
        <row r="3709">
          <cell r="A3709" t="str">
            <v>9900062M_D</v>
          </cell>
          <cell r="B3709" t="str">
            <v>PANA.ceia Distributed Medical</v>
          </cell>
          <cell r="C3709">
            <v>0</v>
          </cell>
          <cell r="D3709">
            <v>881.18</v>
          </cell>
        </row>
        <row r="3710">
          <cell r="A3710" t="str">
            <v>9900063M</v>
          </cell>
          <cell r="B3710" t="str">
            <v>MCD Medical Line PANA.ceia ohne Logo</v>
          </cell>
          <cell r="C3710">
            <v>0</v>
          </cell>
          <cell r="D3710">
            <v>0</v>
          </cell>
        </row>
        <row r="3711">
          <cell r="A3711" t="str">
            <v>9900064M</v>
          </cell>
          <cell r="B3711" t="str">
            <v>MCD Vision Line ISA Desktop System</v>
          </cell>
          <cell r="C3711">
            <v>0</v>
          </cell>
          <cell r="D3711">
            <v>415</v>
          </cell>
        </row>
        <row r="3712">
          <cell r="A3712" t="str">
            <v>9900065M</v>
          </cell>
          <cell r="B3712" t="str">
            <v>AIDA control NEO DVD Projekt MI</v>
          </cell>
          <cell r="C3712">
            <v>0</v>
          </cell>
          <cell r="D3712">
            <v>1400</v>
          </cell>
        </row>
        <row r="3713">
          <cell r="A3713" t="str">
            <v>9900066M</v>
          </cell>
          <cell r="B3713" t="str">
            <v>MCD Medical Line Panel PC 19" B N270</v>
          </cell>
          <cell r="C3713">
            <v>0</v>
          </cell>
          <cell r="D3713">
            <v>1455.5</v>
          </cell>
        </row>
        <row r="3714">
          <cell r="A3714" t="str">
            <v>9900067M</v>
          </cell>
          <cell r="B3714" t="str">
            <v>MCD Medical Line VEIO.vis B i7</v>
          </cell>
          <cell r="C3714">
            <v>0</v>
          </cell>
          <cell r="D3714">
            <v>0</v>
          </cell>
        </row>
        <row r="3715">
          <cell r="A3715" t="str">
            <v>9900068M</v>
          </cell>
          <cell r="B3715" t="str">
            <v>MCD Medical Line VEIO.vis B i5</v>
          </cell>
          <cell r="C3715">
            <v>0</v>
          </cell>
          <cell r="D3715">
            <v>0</v>
          </cell>
        </row>
        <row r="3716">
          <cell r="A3716" t="str">
            <v>9900069M</v>
          </cell>
          <cell r="B3716" t="str">
            <v>MCD Medical Line VEIO.vis B i3</v>
          </cell>
          <cell r="C3716">
            <v>0</v>
          </cell>
          <cell r="D3716">
            <v>0</v>
          </cell>
        </row>
        <row r="3717">
          <cell r="A3717" t="str">
            <v>9900070M</v>
          </cell>
          <cell r="B3717" t="str">
            <v>MCD Medical Line PANA.ceia B E75</v>
          </cell>
          <cell r="C3717">
            <v>0</v>
          </cell>
          <cell r="D3717">
            <v>0</v>
          </cell>
        </row>
        <row r="3718">
          <cell r="A3718" t="str">
            <v>9900071M</v>
          </cell>
          <cell r="B3718" t="str">
            <v>MCD Medical Line PANA.ceia B E84</v>
          </cell>
          <cell r="C3718">
            <v>0</v>
          </cell>
          <cell r="D3718">
            <v>0</v>
          </cell>
        </row>
        <row r="3719">
          <cell r="A3719" t="str">
            <v>9900072M</v>
          </cell>
          <cell r="B3719" t="str">
            <v>MCD Medical Line PANA.ceia B E84</v>
          </cell>
          <cell r="C3719">
            <v>0</v>
          </cell>
          <cell r="D3719">
            <v>0</v>
          </cell>
        </row>
        <row r="3720">
          <cell r="A3720" t="str">
            <v>9900073M</v>
          </cell>
          <cell r="B3720" t="str">
            <v>MCD Medical Line AESCU.certus B T55</v>
          </cell>
          <cell r="C3720">
            <v>0</v>
          </cell>
          <cell r="D3720">
            <v>0</v>
          </cell>
        </row>
        <row r="3721">
          <cell r="A3721" t="str">
            <v>9900074M</v>
          </cell>
          <cell r="B3721" t="str">
            <v>MCD Medical Line AESCU.certus B T55</v>
          </cell>
          <cell r="C3721">
            <v>0</v>
          </cell>
          <cell r="D3721">
            <v>0</v>
          </cell>
        </row>
        <row r="3722">
          <cell r="A3722" t="str">
            <v>9900075M</v>
          </cell>
          <cell r="B3722" t="str">
            <v>MCD Medical Line PANA.ceia MKT</v>
          </cell>
          <cell r="C3722">
            <v>0</v>
          </cell>
          <cell r="D3722">
            <v>0</v>
          </cell>
        </row>
        <row r="3723">
          <cell r="A3723" t="str">
            <v>9900077M</v>
          </cell>
          <cell r="B3723" t="str">
            <v>Viewmedic Vario321C Los 2 Klinikum Stuttgart</v>
          </cell>
          <cell r="C3723">
            <v>0</v>
          </cell>
          <cell r="D3723">
            <v>0</v>
          </cell>
        </row>
        <row r="3724">
          <cell r="A3724" t="str">
            <v>9900078M</v>
          </cell>
          <cell r="B3724" t="str">
            <v>KARL STORZ AIDA control III 20046120 Prototyp</v>
          </cell>
          <cell r="C3724">
            <v>0</v>
          </cell>
          <cell r="D3724">
            <v>445</v>
          </cell>
        </row>
        <row r="3725">
          <cell r="A3725" t="str">
            <v>9900079M</v>
          </cell>
          <cell r="B3725" t="str">
            <v>AESCU.certus Klinikum Stuttgart</v>
          </cell>
          <cell r="C3725">
            <v>0</v>
          </cell>
          <cell r="D3725">
            <v>0</v>
          </cell>
        </row>
        <row r="3726">
          <cell r="A3726" t="str">
            <v>9900080M</v>
          </cell>
          <cell r="B3726" t="str">
            <v>Viewmedic Vario321C</v>
          </cell>
          <cell r="C3726">
            <v>0</v>
          </cell>
          <cell r="D3726">
            <v>3260</v>
          </cell>
        </row>
        <row r="3727">
          <cell r="A3727" t="str">
            <v>9900081M</v>
          </cell>
          <cell r="B3727" t="str">
            <v>MCD Medical Line PANA.ceia N.O.R.I.S.</v>
          </cell>
          <cell r="C3727">
            <v>0</v>
          </cell>
          <cell r="D3727">
            <v>1075</v>
          </cell>
        </row>
        <row r="3728">
          <cell r="A3728" t="str">
            <v>9900082M</v>
          </cell>
          <cell r="B3728" t="str">
            <v>MCD Medical Line PANA.ceia Topcon</v>
          </cell>
          <cell r="C3728">
            <v>0</v>
          </cell>
          <cell r="D3728">
            <v>0</v>
          </cell>
        </row>
        <row r="3729">
          <cell r="A3729" t="str">
            <v>9900083M</v>
          </cell>
          <cell r="B3729" t="str">
            <v>MCD Medical Line VEIO.vis Topcon</v>
          </cell>
          <cell r="C3729">
            <v>0</v>
          </cell>
          <cell r="D3729">
            <v>0</v>
          </cell>
        </row>
        <row r="3730">
          <cell r="A3730" t="str">
            <v>9900084M</v>
          </cell>
          <cell r="B3730" t="str">
            <v>MCD VISION LINE MEDSET 005</v>
          </cell>
          <cell r="C3730">
            <v>0</v>
          </cell>
          <cell r="D3730">
            <v>463</v>
          </cell>
        </row>
        <row r="3731">
          <cell r="A3731" t="str">
            <v>9900085M</v>
          </cell>
          <cell r="B3731" t="str">
            <v>Viewmedic Vario321C/LWL Los 2 Klinikum Stuttgart</v>
          </cell>
          <cell r="C3731">
            <v>0</v>
          </cell>
          <cell r="D3731">
            <v>0</v>
          </cell>
        </row>
        <row r="3732">
          <cell r="A3732" t="str">
            <v>9900086M</v>
          </cell>
          <cell r="B3732" t="str">
            <v>Viewmedic Vario321C/LWL</v>
          </cell>
          <cell r="C3732">
            <v>0</v>
          </cell>
          <cell r="D3732">
            <v>3707</v>
          </cell>
        </row>
        <row r="3733">
          <cell r="A3733" t="str">
            <v>9900087M</v>
          </cell>
          <cell r="B3733" t="str">
            <v>MCD Medical Line PANA.ceia B E75</v>
          </cell>
          <cell r="C3733">
            <v>0</v>
          </cell>
          <cell r="D3733">
            <v>738.22</v>
          </cell>
        </row>
        <row r="3734">
          <cell r="A3734" t="str">
            <v>9900088M</v>
          </cell>
          <cell r="B3734" t="str">
            <v>MCD Medical Line PANA.ceia B E84</v>
          </cell>
          <cell r="C3734">
            <v>0</v>
          </cell>
          <cell r="D3734">
            <v>780.2</v>
          </cell>
        </row>
        <row r="3735">
          <cell r="A3735" t="str">
            <v>9900089M</v>
          </cell>
          <cell r="B3735" t="str">
            <v>MCD Medical Line PANA.ceia B Q94</v>
          </cell>
          <cell r="C3735">
            <v>0</v>
          </cell>
          <cell r="D3735">
            <v>778.9</v>
          </cell>
        </row>
        <row r="3736">
          <cell r="A3736" t="str">
            <v>9900090M</v>
          </cell>
          <cell r="B3736" t="str">
            <v>MCD Medical Line VEIO.vis B i3</v>
          </cell>
          <cell r="C3736">
            <v>0</v>
          </cell>
          <cell r="D3736">
            <v>653.70000000000005</v>
          </cell>
        </row>
        <row r="3737">
          <cell r="A3737" t="str">
            <v>9900091M</v>
          </cell>
          <cell r="B3737" t="str">
            <v>MCD Medical Line VEIO.vis B i7</v>
          </cell>
          <cell r="C3737">
            <v>0</v>
          </cell>
          <cell r="D3737">
            <v>804.4</v>
          </cell>
        </row>
        <row r="3738">
          <cell r="A3738" t="str">
            <v>9900092M</v>
          </cell>
          <cell r="B3738" t="str">
            <v>MCD Medical Line VEIO.vis B i7</v>
          </cell>
          <cell r="C3738">
            <v>0</v>
          </cell>
          <cell r="D3738">
            <v>739.2</v>
          </cell>
        </row>
        <row r="3739">
          <cell r="A3739" t="str">
            <v>9900093M</v>
          </cell>
          <cell r="B3739" t="str">
            <v>MCD Medical Line AESCU.certus B T55</v>
          </cell>
          <cell r="C3739">
            <v>0</v>
          </cell>
          <cell r="D3739">
            <v>1186.6199999999999</v>
          </cell>
        </row>
        <row r="3740">
          <cell r="A3740" t="str">
            <v>9900094M</v>
          </cell>
          <cell r="B3740" t="str">
            <v>MCD Medical Line AESCU.certus B T72</v>
          </cell>
          <cell r="C3740">
            <v>0</v>
          </cell>
          <cell r="D3740">
            <v>1162.8499999999999</v>
          </cell>
        </row>
        <row r="3741">
          <cell r="A3741" t="str">
            <v>9900095M</v>
          </cell>
          <cell r="B3741" t="str">
            <v>Medical Cardio-PC Schiller DS104</v>
          </cell>
          <cell r="C3741">
            <v>0</v>
          </cell>
          <cell r="D3741">
            <v>0</v>
          </cell>
        </row>
        <row r="3742">
          <cell r="A3742" t="str">
            <v>9900096M</v>
          </cell>
          <cell r="B3742" t="str">
            <v>AMD Testsystem Fujitsu D3062-D</v>
          </cell>
          <cell r="C3742">
            <v>0</v>
          </cell>
          <cell r="D3742">
            <v>1431.5</v>
          </cell>
        </row>
        <row r="3743">
          <cell r="A3743" t="str">
            <v>9900097M</v>
          </cell>
          <cell r="B3743" t="str">
            <v>AESCU.certus LWL Klinikum Stuttgart</v>
          </cell>
          <cell r="C3743">
            <v>0</v>
          </cell>
          <cell r="D3743">
            <v>0</v>
          </cell>
        </row>
        <row r="3744">
          <cell r="A3744" t="str">
            <v>9900098M</v>
          </cell>
          <cell r="B3744" t="str">
            <v>AMD Testsystem Kontron KTQ67M-flex</v>
          </cell>
          <cell r="C3744">
            <v>0</v>
          </cell>
          <cell r="D3744">
            <v>721.5</v>
          </cell>
        </row>
        <row r="3745">
          <cell r="A3745" t="str">
            <v>9900099M</v>
          </cell>
          <cell r="B3745" t="str">
            <v>Medical Cardio-PC Schiller DS104 A DE</v>
          </cell>
          <cell r="C3745">
            <v>0</v>
          </cell>
          <cell r="D3745">
            <v>844</v>
          </cell>
        </row>
        <row r="3746">
          <cell r="A3746" t="str">
            <v>9900100M</v>
          </cell>
          <cell r="B3746" t="str">
            <v>Medical Cardio-PC Schiller DS104 A UK</v>
          </cell>
          <cell r="C3746">
            <v>0</v>
          </cell>
          <cell r="D3746">
            <v>844</v>
          </cell>
        </row>
        <row r="3747">
          <cell r="A3747" t="str">
            <v>9900101M</v>
          </cell>
          <cell r="B3747" t="str">
            <v>Itochu Industrietower</v>
          </cell>
          <cell r="C3747">
            <v>0</v>
          </cell>
          <cell r="D3747">
            <v>0</v>
          </cell>
        </row>
        <row r="3748">
          <cell r="A3748" t="str">
            <v>9900103M</v>
          </cell>
          <cell r="B3748" t="str">
            <v>MCD Medical Line AESCU.mobilus m. Akku u. Höhenv.</v>
          </cell>
          <cell r="C3748">
            <v>0</v>
          </cell>
          <cell r="D3748">
            <v>0</v>
          </cell>
        </row>
        <row r="3749">
          <cell r="A3749" t="str">
            <v>9900104M</v>
          </cell>
          <cell r="B3749" t="str">
            <v>MCD Medical Line AESCU.mobilus m. Akku</v>
          </cell>
          <cell r="C3749">
            <v>0</v>
          </cell>
          <cell r="D3749">
            <v>0</v>
          </cell>
        </row>
        <row r="3750">
          <cell r="A3750" t="str">
            <v>9900105M</v>
          </cell>
          <cell r="B3750" t="str">
            <v>MCD Medical Line AESCU.mobilus</v>
          </cell>
          <cell r="C3750">
            <v>0</v>
          </cell>
          <cell r="D3750">
            <v>0</v>
          </cell>
        </row>
        <row r="3751">
          <cell r="A3751" t="str">
            <v>9900106M</v>
          </cell>
          <cell r="B3751" t="str">
            <v>MCD Medical Line VEIO.vis B i3</v>
          </cell>
          <cell r="C3751">
            <v>0</v>
          </cell>
          <cell r="D3751">
            <v>0</v>
          </cell>
        </row>
        <row r="3752">
          <cell r="A3752" t="str">
            <v>9900107M</v>
          </cell>
          <cell r="B3752" t="str">
            <v>MCD Medical Line VEIO.vis B i5</v>
          </cell>
          <cell r="C3752">
            <v>0</v>
          </cell>
          <cell r="D3752">
            <v>0</v>
          </cell>
        </row>
        <row r="3753">
          <cell r="A3753" t="str">
            <v>9900108M</v>
          </cell>
          <cell r="B3753" t="str">
            <v>MCD Medical Line VEIO.vis B i7</v>
          </cell>
          <cell r="C3753">
            <v>0</v>
          </cell>
          <cell r="D3753">
            <v>0</v>
          </cell>
        </row>
        <row r="3754">
          <cell r="A3754" t="str">
            <v>9900109M</v>
          </cell>
          <cell r="B3754" t="str">
            <v>MCD Med.Line PANEL PC 49 cm (19") B N270 inkl. NT</v>
          </cell>
          <cell r="C3754">
            <v>0</v>
          </cell>
          <cell r="D3754">
            <v>0</v>
          </cell>
        </row>
        <row r="3755">
          <cell r="A3755" t="str">
            <v>9900110M</v>
          </cell>
          <cell r="B3755" t="str">
            <v>MCD Med.Line AESCU.certus B T55</v>
          </cell>
          <cell r="C3755">
            <v>0</v>
          </cell>
          <cell r="D3755">
            <v>0</v>
          </cell>
        </row>
        <row r="3756">
          <cell r="A3756" t="str">
            <v>9900111M</v>
          </cell>
          <cell r="B3756" t="str">
            <v>MCD Med.Line AESCU.certus B T56</v>
          </cell>
          <cell r="C3756">
            <v>0</v>
          </cell>
          <cell r="D3756">
            <v>0</v>
          </cell>
        </row>
        <row r="3757">
          <cell r="A3757" t="str">
            <v>9900112M</v>
          </cell>
          <cell r="B3757" t="str">
            <v>MCD Med.Line PANA.ceia B E75</v>
          </cell>
          <cell r="C3757">
            <v>0</v>
          </cell>
          <cell r="D3757">
            <v>0</v>
          </cell>
        </row>
        <row r="3758">
          <cell r="A3758" t="str">
            <v>9900113M</v>
          </cell>
          <cell r="B3758" t="str">
            <v>MCD Med.Line PANA.ceia B E84</v>
          </cell>
          <cell r="C3758">
            <v>0</v>
          </cell>
          <cell r="D3758">
            <v>0</v>
          </cell>
        </row>
        <row r="3759">
          <cell r="A3759" t="str">
            <v>9900114M</v>
          </cell>
          <cell r="B3759" t="str">
            <v>MCD Med.Line PANA.ceia B Q94</v>
          </cell>
          <cell r="C3759">
            <v>0</v>
          </cell>
          <cell r="D3759">
            <v>0</v>
          </cell>
        </row>
        <row r="3760">
          <cell r="A3760" t="str">
            <v>9900115M</v>
          </cell>
          <cell r="B3760" t="str">
            <v>MCD Med.Line AESCU.certus² i3</v>
          </cell>
          <cell r="C3760">
            <v>0</v>
          </cell>
          <cell r="D3760">
            <v>0</v>
          </cell>
        </row>
        <row r="3761">
          <cell r="A3761" t="str">
            <v>9900116M</v>
          </cell>
          <cell r="B3761" t="str">
            <v>MCD Med.Line AESCU.certus² i5</v>
          </cell>
          <cell r="C3761">
            <v>0</v>
          </cell>
          <cell r="D3761">
            <v>0</v>
          </cell>
        </row>
        <row r="3762">
          <cell r="A3762" t="str">
            <v>9900117M</v>
          </cell>
          <cell r="B3762" t="str">
            <v>MCD Med.Line AESCU.certus² USV i3</v>
          </cell>
          <cell r="C3762">
            <v>0</v>
          </cell>
          <cell r="D3762">
            <v>0</v>
          </cell>
        </row>
        <row r="3763">
          <cell r="A3763" t="str">
            <v>9900118M</v>
          </cell>
          <cell r="B3763" t="str">
            <v>AMD Testsystem W&amp;K Gehäuse</v>
          </cell>
          <cell r="C3763">
            <v>0</v>
          </cell>
          <cell r="D3763">
            <v>1550</v>
          </cell>
        </row>
        <row r="3764">
          <cell r="A3764" t="str">
            <v>9900119M</v>
          </cell>
          <cell r="B3764" t="str">
            <v>AMD Testsystem Kohlstädt Gehäuse</v>
          </cell>
          <cell r="C3764">
            <v>0</v>
          </cell>
          <cell r="D3764">
            <v>1550</v>
          </cell>
        </row>
        <row r="3765">
          <cell r="A3765" t="str">
            <v>9900120M</v>
          </cell>
          <cell r="B3765" t="str">
            <v>AMD Testsystem G2 PC only</v>
          </cell>
          <cell r="C3765">
            <v>0</v>
          </cell>
          <cell r="D3765">
            <v>1500</v>
          </cell>
        </row>
        <row r="3766">
          <cell r="A3766" t="str">
            <v>9900121M</v>
          </cell>
          <cell r="B3766" t="str">
            <v>AMD Testsystem G2 PC + Cart</v>
          </cell>
          <cell r="C3766">
            <v>0</v>
          </cell>
          <cell r="D3766">
            <v>3500</v>
          </cell>
        </row>
        <row r="3767">
          <cell r="A3767" t="str">
            <v>9900122M</v>
          </cell>
          <cell r="B3767" t="str">
            <v>AIDA HD Connect DVD</v>
          </cell>
          <cell r="C3767">
            <v>0</v>
          </cell>
          <cell r="D3767">
            <v>2938.1</v>
          </cell>
        </row>
        <row r="3768">
          <cell r="A3768" t="str">
            <v>9900123M</v>
          </cell>
          <cell r="B3768" t="str">
            <v>AIDA HD Connect Blu-ray Read</v>
          </cell>
          <cell r="C3768">
            <v>0</v>
          </cell>
          <cell r="D3768">
            <v>2879.41</v>
          </cell>
        </row>
        <row r="3769">
          <cell r="A3769" t="str">
            <v>9900125M</v>
          </cell>
          <cell r="B3769" t="str">
            <v>Alphatron Medical Line PANA.ceia</v>
          </cell>
          <cell r="C3769">
            <v>0</v>
          </cell>
          <cell r="D3769">
            <v>475</v>
          </cell>
        </row>
        <row r="3770">
          <cell r="A3770" t="str">
            <v>9900126M</v>
          </cell>
          <cell r="B3770" t="str">
            <v>MCD Medical Line AESCU.certus</v>
          </cell>
          <cell r="C3770">
            <v>0</v>
          </cell>
          <cell r="D3770">
            <v>1344.55</v>
          </cell>
        </row>
        <row r="3771">
          <cell r="A3771" t="str">
            <v>9900127M</v>
          </cell>
          <cell r="B3771" t="str">
            <v>AIDA HD Connect Blu-ray Read</v>
          </cell>
          <cell r="C3771">
            <v>0</v>
          </cell>
          <cell r="D3771">
            <v>2880.93</v>
          </cell>
        </row>
        <row r="3772">
          <cell r="A3772" t="str">
            <v>9900128M</v>
          </cell>
          <cell r="B3772" t="str">
            <v>AIDA HD Connect Blu-ray Read</v>
          </cell>
          <cell r="C3772">
            <v>0</v>
          </cell>
          <cell r="D3772">
            <v>2899.82</v>
          </cell>
        </row>
        <row r="3773">
          <cell r="A3773" t="str">
            <v>9900129M</v>
          </cell>
          <cell r="B3773" t="str">
            <v>AIDA HD Connect DVD DC</v>
          </cell>
          <cell r="C3773">
            <v>0</v>
          </cell>
          <cell r="D3773">
            <v>0</v>
          </cell>
        </row>
        <row r="3774">
          <cell r="A3774" t="str">
            <v>9900130M</v>
          </cell>
          <cell r="B3774" t="str">
            <v>AIDA HD Connect Blu-ray Read</v>
          </cell>
          <cell r="C3774">
            <v>0</v>
          </cell>
          <cell r="D3774">
            <v>0</v>
          </cell>
        </row>
        <row r="3775">
          <cell r="A3775" t="str">
            <v>9900131M</v>
          </cell>
          <cell r="B3775" t="str">
            <v>AIDA HD Connect DVD DC</v>
          </cell>
          <cell r="C3775">
            <v>0</v>
          </cell>
          <cell r="D3775">
            <v>0</v>
          </cell>
        </row>
        <row r="3776">
          <cell r="A3776" t="str">
            <v>9900132M</v>
          </cell>
          <cell r="B3776" t="str">
            <v>MCD Vision Line BT_Medset005</v>
          </cell>
          <cell r="C3776">
            <v>0</v>
          </cell>
          <cell r="D3776">
            <v>499</v>
          </cell>
        </row>
        <row r="3777">
          <cell r="A3777" t="str">
            <v>9900133M</v>
          </cell>
          <cell r="B3777" t="str">
            <v>KARL STORZ AIDA HD SmartScreen Upgrade Kit</v>
          </cell>
          <cell r="C3777">
            <v>0</v>
          </cell>
          <cell r="D3777">
            <v>1650</v>
          </cell>
        </row>
        <row r="3778">
          <cell r="A3778" t="str">
            <v>9900134M</v>
          </cell>
          <cell r="B3778" t="str">
            <v>AIDA HD Connect Blu-ray Read</v>
          </cell>
          <cell r="C3778">
            <v>0</v>
          </cell>
          <cell r="D3778">
            <v>2851.57</v>
          </cell>
        </row>
        <row r="3779">
          <cell r="A3779" t="str">
            <v>9900135M</v>
          </cell>
          <cell r="B3779" t="str">
            <v>AIDA HD Connect DVD DC</v>
          </cell>
          <cell r="C3779">
            <v>0</v>
          </cell>
          <cell r="D3779">
            <v>0</v>
          </cell>
        </row>
        <row r="3780">
          <cell r="A3780" t="str">
            <v>9900136M</v>
          </cell>
          <cell r="B3780" t="str">
            <v>AIDA HD Connect Blu-ray Read</v>
          </cell>
          <cell r="C3780">
            <v>0</v>
          </cell>
          <cell r="D3780">
            <v>2865.19</v>
          </cell>
        </row>
        <row r="3781">
          <cell r="A3781" t="str">
            <v>9900137M</v>
          </cell>
          <cell r="B3781" t="str">
            <v>KARL STORZ AIDA HD SmartScreen with DIECAST</v>
          </cell>
          <cell r="C3781">
            <v>0</v>
          </cell>
          <cell r="D3781">
            <v>1025.8699999999999</v>
          </cell>
        </row>
        <row r="3782">
          <cell r="A3782" t="str">
            <v>9900138M</v>
          </cell>
          <cell r="B3782" t="str">
            <v>AIDA HD Connect Blu-ray Read</v>
          </cell>
          <cell r="C3782">
            <v>0</v>
          </cell>
          <cell r="D3782">
            <v>2849.54</v>
          </cell>
        </row>
        <row r="3783">
          <cell r="A3783" t="str">
            <v>9900139M</v>
          </cell>
          <cell r="B3783" t="str">
            <v>AIDA HD Connect DVD DC</v>
          </cell>
          <cell r="C3783">
            <v>0</v>
          </cell>
          <cell r="D3783">
            <v>0</v>
          </cell>
        </row>
        <row r="3784">
          <cell r="A3784" t="str">
            <v>9900140M</v>
          </cell>
          <cell r="B3784" t="str">
            <v>AIDA HD Connect Blu-ray Read</v>
          </cell>
          <cell r="C3784">
            <v>0</v>
          </cell>
          <cell r="D3784">
            <v>2881</v>
          </cell>
        </row>
        <row r="3785">
          <cell r="A3785" t="str">
            <v>9900141M</v>
          </cell>
          <cell r="B3785" t="str">
            <v>AIDA HD Connect DVD DC</v>
          </cell>
          <cell r="C3785">
            <v>0</v>
          </cell>
          <cell r="D3785">
            <v>0</v>
          </cell>
        </row>
        <row r="3786">
          <cell r="A3786" t="str">
            <v>9900142M</v>
          </cell>
          <cell r="B3786" t="str">
            <v>KIT, 12.1 " Display Touch Scrn, w/controller</v>
          </cell>
          <cell r="C3786">
            <v>0</v>
          </cell>
          <cell r="D3786">
            <v>0</v>
          </cell>
        </row>
        <row r="3787">
          <cell r="A3787" t="str">
            <v>9900143M</v>
          </cell>
          <cell r="B3787" t="str">
            <v>Itochu 19" Industriedesktop</v>
          </cell>
          <cell r="C3787">
            <v>0</v>
          </cell>
          <cell r="D3787">
            <v>819</v>
          </cell>
        </row>
        <row r="3788">
          <cell r="A3788" t="str">
            <v>9900144M</v>
          </cell>
          <cell r="B3788" t="str">
            <v>AIDA HD Connect Blu-ray Read</v>
          </cell>
          <cell r="C3788">
            <v>0</v>
          </cell>
          <cell r="D3788">
            <v>2411.86</v>
          </cell>
        </row>
        <row r="3789">
          <cell r="A3789" t="str">
            <v>9900145M</v>
          </cell>
          <cell r="B3789" t="str">
            <v>AIDA HD Connect DVD DC</v>
          </cell>
          <cell r="C3789">
            <v>0</v>
          </cell>
          <cell r="D3789">
            <v>0</v>
          </cell>
        </row>
        <row r="3790">
          <cell r="A3790" t="str">
            <v>9900146M</v>
          </cell>
          <cell r="B3790" t="str">
            <v>HistoScanning BOM2</v>
          </cell>
          <cell r="C3790">
            <v>0</v>
          </cell>
          <cell r="D3790">
            <v>0</v>
          </cell>
        </row>
        <row r="3791">
          <cell r="A3791" t="str">
            <v>9900146M_E</v>
          </cell>
          <cell r="B3791" t="str">
            <v>HistoScanning BOM2</v>
          </cell>
          <cell r="C3791">
            <v>0</v>
          </cell>
          <cell r="D3791">
            <v>3638.48</v>
          </cell>
        </row>
        <row r="3792">
          <cell r="A3792" t="str">
            <v>9900146M_F</v>
          </cell>
          <cell r="B3792" t="str">
            <v>HistoScanning BOM2</v>
          </cell>
          <cell r="C3792">
            <v>0</v>
          </cell>
          <cell r="D3792">
            <v>0</v>
          </cell>
        </row>
        <row r="3793">
          <cell r="A3793" t="str">
            <v>9900146M_G</v>
          </cell>
          <cell r="B3793" t="str">
            <v>HistoScanning BOM2</v>
          </cell>
          <cell r="C3793">
            <v>0</v>
          </cell>
          <cell r="D3793">
            <v>0</v>
          </cell>
        </row>
        <row r="3794">
          <cell r="A3794" t="str">
            <v>9900146M_G-01</v>
          </cell>
          <cell r="B3794" t="str">
            <v>HistoScanning BOM2</v>
          </cell>
          <cell r="C3794">
            <v>0</v>
          </cell>
          <cell r="D3794">
            <v>0</v>
          </cell>
        </row>
        <row r="3795">
          <cell r="A3795" t="str">
            <v>9900146M_H</v>
          </cell>
          <cell r="B3795" t="str">
            <v>HistoScanning BOM2</v>
          </cell>
          <cell r="C3795">
            <v>0</v>
          </cell>
          <cell r="D3795">
            <v>3200</v>
          </cell>
        </row>
        <row r="3796">
          <cell r="A3796" t="str">
            <v>9900146M_H-01</v>
          </cell>
          <cell r="B3796" t="str">
            <v>HistoScanning BOM2</v>
          </cell>
          <cell r="C3796">
            <v>1</v>
          </cell>
          <cell r="D3796">
            <v>3162.58</v>
          </cell>
        </row>
        <row r="3797">
          <cell r="A3797" t="str">
            <v>9900147M</v>
          </cell>
          <cell r="B3797" t="str">
            <v>HistoScanning BOM2 PC ONLY</v>
          </cell>
          <cell r="C3797">
            <v>0</v>
          </cell>
          <cell r="D3797">
            <v>0</v>
          </cell>
        </row>
        <row r="3798">
          <cell r="A3798" t="str">
            <v>9900147M_E</v>
          </cell>
          <cell r="B3798" t="str">
            <v>HistoScanning BOM2 PC ONLY</v>
          </cell>
          <cell r="C3798">
            <v>0</v>
          </cell>
          <cell r="D3798">
            <v>1975.81</v>
          </cell>
        </row>
        <row r="3799">
          <cell r="A3799" t="str">
            <v>9900147M_F</v>
          </cell>
          <cell r="B3799" t="str">
            <v>HistoScanning BOM2 PC ONLY</v>
          </cell>
          <cell r="C3799">
            <v>0</v>
          </cell>
          <cell r="D3799">
            <v>0</v>
          </cell>
        </row>
        <row r="3800">
          <cell r="A3800" t="str">
            <v>9900147M_G</v>
          </cell>
          <cell r="B3800" t="str">
            <v>HistoScanning G2 PC ONLY</v>
          </cell>
          <cell r="C3800">
            <v>0</v>
          </cell>
          <cell r="D3800">
            <v>1628.07</v>
          </cell>
        </row>
        <row r="3801">
          <cell r="A3801" t="str">
            <v>9900147M_H</v>
          </cell>
          <cell r="B3801" t="str">
            <v>HistoScanning G2 PC ONLY</v>
          </cell>
          <cell r="C3801">
            <v>1</v>
          </cell>
          <cell r="D3801">
            <v>1580.29</v>
          </cell>
        </row>
        <row r="3802">
          <cell r="A3802" t="str">
            <v>9900148M</v>
          </cell>
          <cell r="B3802" t="str">
            <v>KARL STORZ AIDA HD SmartScreen with DIECAST</v>
          </cell>
          <cell r="C3802">
            <v>0</v>
          </cell>
          <cell r="D3802">
            <v>1052.08</v>
          </cell>
        </row>
        <row r="3803">
          <cell r="A3803" t="str">
            <v>9900149M</v>
          </cell>
          <cell r="B3803" t="str">
            <v>DIACAP Blu-ray Read</v>
          </cell>
          <cell r="C3803">
            <v>0</v>
          </cell>
          <cell r="D3803">
            <v>2420.5300000000002</v>
          </cell>
        </row>
        <row r="3804">
          <cell r="A3804" t="str">
            <v>9900149M_D</v>
          </cell>
          <cell r="B3804" t="str">
            <v>DIACAP Blu-ray Read</v>
          </cell>
          <cell r="C3804">
            <v>0</v>
          </cell>
          <cell r="D3804">
            <v>0</v>
          </cell>
        </row>
        <row r="3805">
          <cell r="A3805" t="str">
            <v>9900150M</v>
          </cell>
          <cell r="B3805" t="str">
            <v>SmartScreen with DIECAST LED PANEL</v>
          </cell>
          <cell r="C3805">
            <v>0</v>
          </cell>
          <cell r="D3805">
            <v>918.6</v>
          </cell>
        </row>
        <row r="3806">
          <cell r="A3806" t="str">
            <v>9900151M</v>
          </cell>
          <cell r="B3806" t="str">
            <v>AIDA HD Connect Blu-ray Read</v>
          </cell>
          <cell r="C3806">
            <v>0</v>
          </cell>
          <cell r="D3806">
            <v>2417.7399999999998</v>
          </cell>
        </row>
        <row r="3807">
          <cell r="A3807" t="str">
            <v>9900152M</v>
          </cell>
          <cell r="B3807" t="str">
            <v>AIDA HD Connect DVD DC</v>
          </cell>
          <cell r="C3807">
            <v>0</v>
          </cell>
          <cell r="D3807">
            <v>0</v>
          </cell>
        </row>
        <row r="3808">
          <cell r="A3808" t="str">
            <v>9900153M</v>
          </cell>
          <cell r="B3808" t="str">
            <v>KARL STORZ AIDA HD SmartScreen with DIECAST</v>
          </cell>
          <cell r="C3808">
            <v>0</v>
          </cell>
          <cell r="D3808">
            <v>1030.21</v>
          </cell>
        </row>
        <row r="3809">
          <cell r="A3809" t="str">
            <v>9900154M</v>
          </cell>
          <cell r="B3809" t="str">
            <v>HistoScanning BOM3 Prototypes for EAU</v>
          </cell>
          <cell r="C3809">
            <v>0</v>
          </cell>
          <cell r="D3809">
            <v>0</v>
          </cell>
        </row>
        <row r="3810">
          <cell r="A3810" t="str">
            <v>9900154M_A</v>
          </cell>
          <cell r="B3810" t="str">
            <v>HistoScanning BOM3 Prototypes for EAU</v>
          </cell>
          <cell r="C3810">
            <v>0</v>
          </cell>
          <cell r="D3810">
            <v>1545.16</v>
          </cell>
        </row>
        <row r="3811">
          <cell r="A3811" t="str">
            <v>9900154M_B</v>
          </cell>
          <cell r="B3811" t="str">
            <v>HistoScanning G3 Workstation</v>
          </cell>
          <cell r="C3811">
            <v>0</v>
          </cell>
          <cell r="D3811">
            <v>5110.7700000000004</v>
          </cell>
        </row>
        <row r="3812">
          <cell r="A3812" t="str">
            <v>9900154M_C</v>
          </cell>
          <cell r="B3812" t="str">
            <v>HistoScanning G3 Workstation</v>
          </cell>
          <cell r="C3812">
            <v>0</v>
          </cell>
          <cell r="D3812">
            <v>5038</v>
          </cell>
        </row>
        <row r="3813">
          <cell r="A3813" t="str">
            <v>9900154M_D</v>
          </cell>
          <cell r="B3813" t="str">
            <v>HistoScanning G3 Workstation</v>
          </cell>
          <cell r="C3813">
            <v>0</v>
          </cell>
          <cell r="D3813">
            <v>2788.23</v>
          </cell>
        </row>
        <row r="3814">
          <cell r="A3814" t="str">
            <v>9900154M_E</v>
          </cell>
          <cell r="B3814" t="str">
            <v>HistoScanning G3 Workstation</v>
          </cell>
          <cell r="C3814">
            <v>0</v>
          </cell>
          <cell r="D3814">
            <v>3314.04</v>
          </cell>
        </row>
        <row r="3815">
          <cell r="A3815" t="str">
            <v>9900155M</v>
          </cell>
          <cell r="B3815" t="str">
            <v>HistoScanning BOM3 PC ONLY</v>
          </cell>
          <cell r="C3815">
            <v>0</v>
          </cell>
          <cell r="D3815">
            <v>0</v>
          </cell>
        </row>
        <row r="3816">
          <cell r="A3816" t="str">
            <v>9900155M_A</v>
          </cell>
          <cell r="B3816" t="str">
            <v>HistoScanning BOM3 PC ONLY</v>
          </cell>
          <cell r="C3816">
            <v>0</v>
          </cell>
          <cell r="D3816">
            <v>3495.86</v>
          </cell>
        </row>
        <row r="3817">
          <cell r="A3817" t="str">
            <v>9900155M_B</v>
          </cell>
          <cell r="B3817" t="str">
            <v>HistoScanning G3 PC ONLY</v>
          </cell>
          <cell r="C3817">
            <v>0</v>
          </cell>
          <cell r="D3817">
            <v>2771.88</v>
          </cell>
        </row>
        <row r="3818">
          <cell r="A3818" t="str">
            <v>9900155M_C</v>
          </cell>
          <cell r="B3818" t="str">
            <v>HistoScanning G3 PC ONLY</v>
          </cell>
          <cell r="C3818">
            <v>0</v>
          </cell>
          <cell r="D3818">
            <v>3395.36</v>
          </cell>
        </row>
        <row r="3819">
          <cell r="A3819" t="str">
            <v>9900155M_D</v>
          </cell>
          <cell r="B3819" t="str">
            <v>HistoScanning G3 PC ONLY</v>
          </cell>
          <cell r="C3819">
            <v>0</v>
          </cell>
          <cell r="D3819">
            <v>2277.37</v>
          </cell>
        </row>
        <row r="3820">
          <cell r="A3820" t="str">
            <v>9900155M_E</v>
          </cell>
          <cell r="B3820" t="str">
            <v>HistoScanning G3 PC ONLY</v>
          </cell>
          <cell r="C3820">
            <v>0</v>
          </cell>
          <cell r="D3820">
            <v>1861</v>
          </cell>
        </row>
        <row r="3821">
          <cell r="A3821" t="str">
            <v>9900156M</v>
          </cell>
          <cell r="B3821" t="str">
            <v>MCD Medical Line AESCU.certus² Stand non-USV</v>
          </cell>
          <cell r="C3821">
            <v>0</v>
          </cell>
          <cell r="D3821">
            <v>1402</v>
          </cell>
        </row>
        <row r="3822">
          <cell r="A3822" t="str">
            <v>9900157M</v>
          </cell>
          <cell r="B3822" t="str">
            <v>KARL STORZ AIDA HD SmartScreen with DIECAST/LED</v>
          </cell>
          <cell r="C3822">
            <v>0</v>
          </cell>
          <cell r="D3822">
            <v>1035.08</v>
          </cell>
        </row>
        <row r="3823">
          <cell r="A3823" t="str">
            <v>9900158M</v>
          </cell>
          <cell r="B3823" t="str">
            <v>KARL STORZ AIDA HD SmartScreen with DIECAST/LED</v>
          </cell>
          <cell r="C3823">
            <v>0</v>
          </cell>
          <cell r="D3823">
            <v>1036.4100000000001</v>
          </cell>
        </row>
        <row r="3824">
          <cell r="A3824" t="str">
            <v>9900159M</v>
          </cell>
          <cell r="B3824" t="str">
            <v>KARL STORZ AIDA HD SmartScreen with DIECAST/LED</v>
          </cell>
          <cell r="C3824">
            <v>1</v>
          </cell>
          <cell r="D3824">
            <v>1007.06</v>
          </cell>
        </row>
        <row r="3825">
          <cell r="A3825" t="str">
            <v>9900160M_G-01</v>
          </cell>
          <cell r="B3825" t="str">
            <v>HistoScanning G2 Upgrade</v>
          </cell>
          <cell r="C3825">
            <v>0</v>
          </cell>
          <cell r="D3825">
            <v>3340</v>
          </cell>
        </row>
        <row r="3826">
          <cell r="A3826" t="str">
            <v>9900160M_G-02</v>
          </cell>
          <cell r="B3826" t="str">
            <v>HistoScanning G2 Upgrade</v>
          </cell>
          <cell r="C3826">
            <v>0</v>
          </cell>
          <cell r="D3826">
            <v>2096.59</v>
          </cell>
        </row>
        <row r="3827">
          <cell r="A3827" t="str">
            <v>9900160M_G-03</v>
          </cell>
          <cell r="B3827" t="str">
            <v>HistoScanning G2 Upgrade</v>
          </cell>
          <cell r="C3827">
            <v>0</v>
          </cell>
          <cell r="D3827">
            <v>2096.59</v>
          </cell>
        </row>
        <row r="3828">
          <cell r="A3828" t="str">
            <v>9900160M_G-04</v>
          </cell>
          <cell r="B3828" t="str">
            <v>HistoScanning G2 Upgrade</v>
          </cell>
          <cell r="C3828">
            <v>0</v>
          </cell>
          <cell r="D3828">
            <v>2096.59</v>
          </cell>
        </row>
        <row r="3829">
          <cell r="A3829" t="str">
            <v>9900160M_H-01</v>
          </cell>
          <cell r="B3829" t="str">
            <v>HistoScanning G2 Upgrade</v>
          </cell>
          <cell r="C3829">
            <v>0</v>
          </cell>
          <cell r="D3829">
            <v>2048.2600000000002</v>
          </cell>
        </row>
        <row r="3830">
          <cell r="A3830" t="str">
            <v>9900160M_H-02</v>
          </cell>
          <cell r="B3830" t="str">
            <v>HistoScanning G2 Upgrade</v>
          </cell>
          <cell r="C3830">
            <v>0</v>
          </cell>
          <cell r="D3830">
            <v>2058.13</v>
          </cell>
        </row>
        <row r="3831">
          <cell r="A3831" t="str">
            <v>9900161M</v>
          </cell>
          <cell r="B3831" t="str">
            <v>KARL STORZ AIDA HD SmartScreen Upgrade Kit</v>
          </cell>
          <cell r="C3831">
            <v>0</v>
          </cell>
          <cell r="D3831">
            <v>1600</v>
          </cell>
        </row>
        <row r="3832">
          <cell r="A3832" t="str">
            <v>9900162M</v>
          </cell>
          <cell r="B3832" t="str">
            <v>AIDA HD Connect Blu-ray Read</v>
          </cell>
          <cell r="C3832">
            <v>0</v>
          </cell>
          <cell r="D3832">
            <v>2382.52</v>
          </cell>
        </row>
        <row r="3833">
          <cell r="A3833" t="str">
            <v>9900163M</v>
          </cell>
          <cell r="B3833" t="str">
            <v>AIDA HD Connect DVD DC</v>
          </cell>
          <cell r="C3833">
            <v>0</v>
          </cell>
          <cell r="D3833">
            <v>0</v>
          </cell>
        </row>
        <row r="3834">
          <cell r="A3834" t="str">
            <v>9900164M</v>
          </cell>
          <cell r="B3834" t="str">
            <v>Itochu 19" Industriedesktop Win7-64 Bit</v>
          </cell>
          <cell r="C3834">
            <v>0</v>
          </cell>
          <cell r="D3834">
            <v>1095</v>
          </cell>
        </row>
        <row r="3835">
          <cell r="A3835" t="str">
            <v>9900165M</v>
          </cell>
          <cell r="B3835" t="str">
            <v>Itochu 19" Industriedesktop Win7-32 Bit-Englisch</v>
          </cell>
          <cell r="C3835">
            <v>0</v>
          </cell>
          <cell r="D3835">
            <v>765</v>
          </cell>
        </row>
        <row r="3836">
          <cell r="A3836" t="str">
            <v>9900166M</v>
          </cell>
          <cell r="B3836" t="str">
            <v>Itochu 19" Industriedesktop i7-Win7-32Bit Englisch</v>
          </cell>
          <cell r="C3836">
            <v>0</v>
          </cell>
          <cell r="D3836">
            <v>1075</v>
          </cell>
        </row>
        <row r="3837">
          <cell r="A3837" t="str">
            <v>9910001M</v>
          </cell>
          <cell r="B3837" t="str">
            <v>Gehäuse Patiententerminal - Standversion</v>
          </cell>
          <cell r="C3837">
            <v>0</v>
          </cell>
          <cell r="D3837">
            <v>1035</v>
          </cell>
        </row>
        <row r="3838">
          <cell r="A3838" t="str">
            <v>9910002M</v>
          </cell>
          <cell r="B3838" t="str">
            <v>Gehäuse Patiententerminal - Wandversion</v>
          </cell>
          <cell r="C3838">
            <v>0</v>
          </cell>
          <cell r="D3838">
            <v>1035</v>
          </cell>
        </row>
        <row r="3839">
          <cell r="A3839" t="str">
            <v>9910003M</v>
          </cell>
          <cell r="B3839" t="str">
            <v>Profilsatz für Bedienterminal 17"</v>
          </cell>
          <cell r="C3839">
            <v>0</v>
          </cell>
          <cell r="D3839">
            <v>73</v>
          </cell>
        </row>
        <row r="3840">
          <cell r="A3840" t="str">
            <v>9910004M</v>
          </cell>
          <cell r="B3840" t="str">
            <v>Cabinet HistoScanning</v>
          </cell>
          <cell r="C3840">
            <v>0</v>
          </cell>
          <cell r="D3840">
            <v>149</v>
          </cell>
        </row>
        <row r="3841">
          <cell r="A3841" t="str">
            <v>9910005M</v>
          </cell>
          <cell r="B3841" t="str">
            <v>HistoScanning engraved plate</v>
          </cell>
          <cell r="C3841">
            <v>0</v>
          </cell>
          <cell r="D3841">
            <v>1.3</v>
          </cell>
        </row>
        <row r="3842">
          <cell r="A3842" t="str">
            <v>9910006M</v>
          </cell>
          <cell r="B3842" t="str">
            <v>ET14-1130000M AIDA SCB Einschaltmodul</v>
          </cell>
          <cell r="C3842">
            <v>16</v>
          </cell>
          <cell r="D3842">
            <v>15.67</v>
          </cell>
        </row>
        <row r="3843">
          <cell r="A3843" t="str">
            <v>9910008M</v>
          </cell>
          <cell r="B3843" t="str">
            <v>Frontplatte KS AIDA control, 200960 20</v>
          </cell>
          <cell r="C3843">
            <v>0</v>
          </cell>
          <cell r="D3843">
            <v>54.6</v>
          </cell>
        </row>
        <row r="3844">
          <cell r="A3844" t="str">
            <v>9910009M</v>
          </cell>
          <cell r="B3844" t="str">
            <v>Frontplatte KS AIDA control, 200961 20</v>
          </cell>
          <cell r="C3844">
            <v>0</v>
          </cell>
          <cell r="D3844">
            <v>54.6</v>
          </cell>
        </row>
        <row r="3845">
          <cell r="A3845" t="str">
            <v>9910010M</v>
          </cell>
          <cell r="B3845" t="str">
            <v>Frontplatte KS AIDA control, 200970 20</v>
          </cell>
          <cell r="C3845">
            <v>0</v>
          </cell>
          <cell r="D3845">
            <v>54.6</v>
          </cell>
        </row>
        <row r="3846">
          <cell r="A3846" t="str">
            <v>9910011M</v>
          </cell>
          <cell r="B3846" t="str">
            <v>Frontplatte KS AIDA control, 200970 20-1</v>
          </cell>
          <cell r="C3846">
            <v>0</v>
          </cell>
          <cell r="D3846">
            <v>77</v>
          </cell>
        </row>
        <row r="3847">
          <cell r="A3847" t="str">
            <v>9910012M</v>
          </cell>
          <cell r="B3847" t="str">
            <v>KS Gehäusedeckel - passend für alle Systeme</v>
          </cell>
          <cell r="C3847">
            <v>20</v>
          </cell>
          <cell r="D3847">
            <v>63.5</v>
          </cell>
        </row>
        <row r="3848">
          <cell r="A3848" t="str">
            <v>9910013M</v>
          </cell>
          <cell r="B3848" t="str">
            <v>Frontplatte KS AIDA control II, 20046020</v>
          </cell>
          <cell r="C3848">
            <v>0</v>
          </cell>
          <cell r="D3848">
            <v>54.6</v>
          </cell>
        </row>
        <row r="3849">
          <cell r="A3849" t="str">
            <v>9910014M</v>
          </cell>
          <cell r="B3849" t="str">
            <v>Gehäusedeckel AMD HistoScanning PANA.ceia</v>
          </cell>
          <cell r="C3849">
            <v>0</v>
          </cell>
          <cell r="D3849">
            <v>57.55</v>
          </cell>
        </row>
        <row r="3850">
          <cell r="A3850" t="str">
            <v>9910015M</v>
          </cell>
          <cell r="B3850" t="str">
            <v>Linke Seitenwand inkl. USB Halterung - Storz</v>
          </cell>
          <cell r="C3850">
            <v>0</v>
          </cell>
          <cell r="D3850">
            <v>12.4</v>
          </cell>
        </row>
        <row r="3851">
          <cell r="A3851" t="str">
            <v>9910016M</v>
          </cell>
          <cell r="B3851" t="str">
            <v>Aufkleber "VOID" HistoScanning</v>
          </cell>
          <cell r="C3851">
            <v>0</v>
          </cell>
          <cell r="D3851">
            <v>0</v>
          </cell>
        </row>
        <row r="3852">
          <cell r="A3852" t="str">
            <v>9910017M</v>
          </cell>
          <cell r="B3852" t="str">
            <v>Gehäuse XION-Matrix-DS inkl. Frontblende</v>
          </cell>
          <cell r="C3852">
            <v>0</v>
          </cell>
          <cell r="D3852">
            <v>155.6</v>
          </cell>
        </row>
        <row r="3853">
          <cell r="A3853" t="str">
            <v>9910018M</v>
          </cell>
          <cell r="B3853" t="str">
            <v>Frontfolie - E&amp;L - Aescu.certus</v>
          </cell>
          <cell r="C3853">
            <v>0</v>
          </cell>
          <cell r="D3853">
            <v>37.9</v>
          </cell>
        </row>
        <row r="3854">
          <cell r="A3854" t="str">
            <v>9910019M</v>
          </cell>
          <cell r="B3854" t="str">
            <v>KSI SmartScreen Teilekit</v>
          </cell>
          <cell r="C3854">
            <v>0</v>
          </cell>
          <cell r="D3854">
            <v>1389.15</v>
          </cell>
        </row>
        <row r="3855">
          <cell r="A3855" t="str">
            <v>9910020M</v>
          </cell>
          <cell r="B3855" t="str">
            <v>HanTouch 12,1" 4-wire 16:9, H5121A-NE0FB87</v>
          </cell>
          <cell r="C3855">
            <v>0</v>
          </cell>
          <cell r="D3855">
            <v>500</v>
          </cell>
        </row>
        <row r="3856">
          <cell r="A3856" t="str">
            <v>9910021M</v>
          </cell>
          <cell r="B3856" t="str">
            <v>Inverter Zippy12V</v>
          </cell>
          <cell r="C3856">
            <v>0</v>
          </cell>
          <cell r="D3856">
            <v>40</v>
          </cell>
        </row>
        <row r="3857">
          <cell r="A3857" t="str">
            <v>9910022M</v>
          </cell>
          <cell r="B3857" t="str">
            <v>Komponenten-Kit für Smart Screen - Storz</v>
          </cell>
          <cell r="C3857">
            <v>0</v>
          </cell>
          <cell r="D3857">
            <v>764</v>
          </cell>
        </row>
        <row r="3858">
          <cell r="A3858" t="str">
            <v>9910023M</v>
          </cell>
          <cell r="B3858" t="str">
            <v>KSI serielle Schnittstelle DB9 mit 12V</v>
          </cell>
          <cell r="C3858">
            <v>0</v>
          </cell>
          <cell r="D3858">
            <v>25</v>
          </cell>
        </row>
        <row r="3859">
          <cell r="A3859" t="str">
            <v>9910024M</v>
          </cell>
          <cell r="B3859" t="str">
            <v>MCD Vision Line 4HE Exchange/Terminal Server</v>
          </cell>
          <cell r="C3859">
            <v>0</v>
          </cell>
          <cell r="D3859">
            <v>9450</v>
          </cell>
        </row>
        <row r="3860">
          <cell r="A3860" t="str">
            <v>9910025M</v>
          </cell>
          <cell r="B3860" t="str">
            <v>KS Fußschalter Slotblech incl. GPIO</v>
          </cell>
          <cell r="C3860">
            <v>0</v>
          </cell>
          <cell r="D3860">
            <v>30</v>
          </cell>
        </row>
        <row r="3861">
          <cell r="A3861" t="str">
            <v>9910026M</v>
          </cell>
          <cell r="B3861" t="str">
            <v>INSTRUCTION MANUAL AIDA HD CONNECT</v>
          </cell>
          <cell r="C3861">
            <v>0</v>
          </cell>
          <cell r="D3861">
            <v>11.9</v>
          </cell>
        </row>
        <row r="3862">
          <cell r="A3862" t="str">
            <v>9910027M</v>
          </cell>
          <cell r="B3862" t="str">
            <v>BACK PLATE, SWITCH, POWER AIDA HD, ALU</v>
          </cell>
          <cell r="C3862">
            <v>0</v>
          </cell>
          <cell r="D3862">
            <v>1.5</v>
          </cell>
        </row>
        <row r="3863">
          <cell r="A3863" t="str">
            <v>9910028M</v>
          </cell>
          <cell r="B3863" t="str">
            <v>Front Panel</v>
          </cell>
          <cell r="C3863">
            <v>0</v>
          </cell>
          <cell r="D3863">
            <v>0</v>
          </cell>
        </row>
        <row r="3864">
          <cell r="A3864" t="str">
            <v>9910029M</v>
          </cell>
          <cell r="B3864" t="str">
            <v>Front Foil AIDA HD connect 20205520</v>
          </cell>
          <cell r="C3864">
            <v>0</v>
          </cell>
          <cell r="D3864">
            <v>0</v>
          </cell>
        </row>
        <row r="3865">
          <cell r="A3865" t="str">
            <v>9910030M</v>
          </cell>
          <cell r="B3865" t="str">
            <v>Casing Cover 40cm</v>
          </cell>
          <cell r="C3865">
            <v>0</v>
          </cell>
          <cell r="D3865">
            <v>48.9</v>
          </cell>
        </row>
        <row r="3866">
          <cell r="A3866" t="str">
            <v>9910031M</v>
          </cell>
          <cell r="B3866" t="str">
            <v>Back Panel Casing Cover</v>
          </cell>
          <cell r="C3866">
            <v>0</v>
          </cell>
          <cell r="D3866">
            <v>0</v>
          </cell>
        </row>
        <row r="3867">
          <cell r="A3867" t="str">
            <v>9910032M</v>
          </cell>
          <cell r="B3867" t="str">
            <v>Front Ledge Casing Cover</v>
          </cell>
          <cell r="C3867">
            <v>0</v>
          </cell>
          <cell r="D3867">
            <v>0</v>
          </cell>
        </row>
        <row r="3868">
          <cell r="A3868" t="str">
            <v>9910033M</v>
          </cell>
          <cell r="B3868" t="str">
            <v>Slot and I/O Holder 5-PCI Cards</v>
          </cell>
          <cell r="C3868">
            <v>0</v>
          </cell>
          <cell r="D3868">
            <v>0</v>
          </cell>
        </row>
        <row r="3869">
          <cell r="A3869" t="str">
            <v>9910034M</v>
          </cell>
          <cell r="B3869" t="str">
            <v>Casing Bottom AIDA HD connect</v>
          </cell>
          <cell r="C3869">
            <v>0</v>
          </cell>
          <cell r="D3869">
            <v>0</v>
          </cell>
        </row>
        <row r="3870">
          <cell r="A3870" t="str">
            <v>9910035M</v>
          </cell>
          <cell r="B3870" t="str">
            <v>Holder PCI-Brackets</v>
          </cell>
          <cell r="C3870">
            <v>0</v>
          </cell>
          <cell r="D3870">
            <v>0</v>
          </cell>
        </row>
        <row r="3871">
          <cell r="A3871" t="str">
            <v>9910036M</v>
          </cell>
          <cell r="B3871" t="str">
            <v>Slot Brackets</v>
          </cell>
          <cell r="C3871">
            <v>0</v>
          </cell>
          <cell r="D3871">
            <v>0</v>
          </cell>
        </row>
        <row r="3872">
          <cell r="A3872" t="str">
            <v>9910037M</v>
          </cell>
          <cell r="B3872" t="str">
            <v>Power Supply Holder</v>
          </cell>
          <cell r="C3872">
            <v>0</v>
          </cell>
          <cell r="D3872">
            <v>0</v>
          </cell>
        </row>
        <row r="3873">
          <cell r="A3873" t="str">
            <v>9910038M</v>
          </cell>
          <cell r="B3873" t="str">
            <v>Side Panel Right</v>
          </cell>
          <cell r="C3873">
            <v>0</v>
          </cell>
          <cell r="D3873">
            <v>0</v>
          </cell>
        </row>
        <row r="3874">
          <cell r="A3874" t="str">
            <v>9910039M</v>
          </cell>
          <cell r="B3874" t="str">
            <v>Side Panel Left</v>
          </cell>
          <cell r="C3874">
            <v>0</v>
          </cell>
          <cell r="D3874">
            <v>0</v>
          </cell>
        </row>
        <row r="3875">
          <cell r="A3875" t="str">
            <v>9910040M</v>
          </cell>
          <cell r="B3875" t="str">
            <v>CD-ROM Tray</v>
          </cell>
          <cell r="C3875">
            <v>0</v>
          </cell>
          <cell r="D3875">
            <v>0</v>
          </cell>
        </row>
        <row r="3876">
          <cell r="A3876" t="str">
            <v>9910041M</v>
          </cell>
          <cell r="B3876" t="str">
            <v>Bar Spacer for HDU Mounting</v>
          </cell>
          <cell r="C3876">
            <v>0</v>
          </cell>
          <cell r="D3876">
            <v>0</v>
          </cell>
        </row>
        <row r="3877">
          <cell r="A3877" t="str">
            <v>9910042M</v>
          </cell>
          <cell r="B3877" t="str">
            <v>Front Frame</v>
          </cell>
          <cell r="C3877">
            <v>12</v>
          </cell>
          <cell r="D3877">
            <v>25</v>
          </cell>
        </row>
        <row r="3878">
          <cell r="A3878" t="str">
            <v>9910043M</v>
          </cell>
          <cell r="B3878" t="str">
            <v>Fussleiste AIDA HD connect</v>
          </cell>
          <cell r="C3878">
            <v>0</v>
          </cell>
          <cell r="D3878">
            <v>0</v>
          </cell>
        </row>
        <row r="3879">
          <cell r="A3879" t="str">
            <v>9910044M</v>
          </cell>
          <cell r="B3879" t="str">
            <v>Fussleisten Extension AIDA HD connect</v>
          </cell>
          <cell r="C3879">
            <v>0</v>
          </cell>
          <cell r="D3879">
            <v>0</v>
          </cell>
        </row>
        <row r="3880">
          <cell r="A3880" t="str">
            <v>9910045M</v>
          </cell>
          <cell r="B3880" t="str">
            <v>Motherboard I/O Shield</v>
          </cell>
          <cell r="C3880">
            <v>0</v>
          </cell>
          <cell r="D3880">
            <v>1.92</v>
          </cell>
        </row>
        <row r="3881">
          <cell r="A3881" t="str">
            <v>9910046M</v>
          </cell>
          <cell r="B3881" t="str">
            <v>LABEL THERMOSCRIPT SILVER MATT 75 X 50 MM</v>
          </cell>
          <cell r="C3881">
            <v>0</v>
          </cell>
          <cell r="D3881">
            <v>0</v>
          </cell>
        </row>
        <row r="3882">
          <cell r="A3882" t="str">
            <v>9910047M</v>
          </cell>
          <cell r="B3882" t="str">
            <v>Test Report</v>
          </cell>
          <cell r="C3882">
            <v>0</v>
          </cell>
          <cell r="D3882">
            <v>0</v>
          </cell>
        </row>
        <row r="3883">
          <cell r="A3883" t="str">
            <v>9910048M</v>
          </cell>
          <cell r="B3883" t="str">
            <v>Packing List</v>
          </cell>
          <cell r="C3883">
            <v>0</v>
          </cell>
          <cell r="D3883">
            <v>0</v>
          </cell>
        </row>
        <row r="3884">
          <cell r="A3884" t="str">
            <v>9910049M</v>
          </cell>
          <cell r="B3884" t="str">
            <v>Cable Power Cord(s) 110V, 3 meters</v>
          </cell>
          <cell r="C3884">
            <v>0</v>
          </cell>
          <cell r="D3884">
            <v>0</v>
          </cell>
        </row>
        <row r="3885">
          <cell r="A3885" t="str">
            <v>9910050M</v>
          </cell>
          <cell r="B3885" t="str">
            <v>Cable Power Cord(s) 240V, 3 meters</v>
          </cell>
          <cell r="C3885">
            <v>0</v>
          </cell>
          <cell r="D3885">
            <v>2.85</v>
          </cell>
        </row>
        <row r="3886">
          <cell r="A3886" t="str">
            <v>9910051M</v>
          </cell>
          <cell r="B3886" t="str">
            <v>Cable S-Video, 2 meters</v>
          </cell>
          <cell r="C3886">
            <v>0</v>
          </cell>
          <cell r="D3886">
            <v>1.05</v>
          </cell>
        </row>
        <row r="3887">
          <cell r="A3887" t="str">
            <v>9910052M</v>
          </cell>
          <cell r="B3887" t="str">
            <v>Cable Composite, 2 meters</v>
          </cell>
          <cell r="C3887">
            <v>0</v>
          </cell>
          <cell r="D3887">
            <v>3.3</v>
          </cell>
        </row>
        <row r="3888">
          <cell r="A3888" t="str">
            <v>9910053M</v>
          </cell>
          <cell r="B3888" t="str">
            <v>Adapter Composite =&gt; Phone</v>
          </cell>
          <cell r="C3888">
            <v>0</v>
          </cell>
          <cell r="D3888">
            <v>0.65</v>
          </cell>
        </row>
        <row r="3889">
          <cell r="A3889" t="str">
            <v>9910054M</v>
          </cell>
          <cell r="B3889" t="str">
            <v>Cable SDI (HDI,SDI), (3G SDI), 3 meters</v>
          </cell>
          <cell r="C3889">
            <v>0</v>
          </cell>
          <cell r="D3889">
            <v>0</v>
          </cell>
        </row>
        <row r="3890">
          <cell r="A3890" t="str">
            <v>9910055M</v>
          </cell>
          <cell r="B3890" t="str">
            <v>Cable DVI 18+1 M-M 3 Meter</v>
          </cell>
          <cell r="C3890">
            <v>0</v>
          </cell>
          <cell r="D3890">
            <v>5.6</v>
          </cell>
        </row>
        <row r="3891">
          <cell r="A3891" t="str">
            <v>9910056M</v>
          </cell>
          <cell r="B3891" t="str">
            <v>Adapter DVI IN/OUT</v>
          </cell>
          <cell r="C3891">
            <v>0</v>
          </cell>
          <cell r="D3891">
            <v>19.97</v>
          </cell>
        </row>
        <row r="3892">
          <cell r="A3892" t="str">
            <v>9910057M</v>
          </cell>
          <cell r="B3892" t="str">
            <v>Matrox Adapter Audio Cable</v>
          </cell>
          <cell r="C3892">
            <v>-2305</v>
          </cell>
          <cell r="D3892">
            <v>0</v>
          </cell>
        </row>
        <row r="3893">
          <cell r="A3893" t="str">
            <v>9910058M</v>
          </cell>
          <cell r="B3893" t="str">
            <v>Matrox AVCIO Video Grabber Board</v>
          </cell>
          <cell r="C3893">
            <v>0</v>
          </cell>
          <cell r="D3893">
            <v>1860.11</v>
          </cell>
        </row>
        <row r="3894">
          <cell r="A3894" t="str">
            <v>9910059M</v>
          </cell>
          <cell r="B3894" t="str">
            <v>Software Installation Kit</v>
          </cell>
          <cell r="C3894">
            <v>0</v>
          </cell>
          <cell r="D3894">
            <v>0</v>
          </cell>
        </row>
        <row r="3895">
          <cell r="A3895" t="str">
            <v>9910060M</v>
          </cell>
          <cell r="B3895" t="str">
            <v>Packaging</v>
          </cell>
          <cell r="C3895">
            <v>0</v>
          </cell>
          <cell r="D3895">
            <v>25</v>
          </cell>
        </row>
        <row r="3896">
          <cell r="A3896" t="str">
            <v>9910061M</v>
          </cell>
          <cell r="B3896" t="str">
            <v>Gehäuse Karl Storz AIDA S³</v>
          </cell>
          <cell r="C3896">
            <v>0</v>
          </cell>
          <cell r="D3896">
            <v>480</v>
          </cell>
        </row>
        <row r="3897">
          <cell r="A3897" t="str">
            <v>9910062M</v>
          </cell>
          <cell r="B3897" t="str">
            <v>Label, Patent AIDA HD connect</v>
          </cell>
          <cell r="C3897">
            <v>0</v>
          </cell>
          <cell r="D3897">
            <v>0.24</v>
          </cell>
        </row>
        <row r="3898">
          <cell r="A3898" t="str">
            <v>9910063M</v>
          </cell>
          <cell r="B3898" t="str">
            <v>Label connectors AIDA HD connect</v>
          </cell>
          <cell r="C3898">
            <v>0</v>
          </cell>
          <cell r="D3898">
            <v>8.9</v>
          </cell>
        </row>
        <row r="3899">
          <cell r="A3899" t="str">
            <v>9910064M</v>
          </cell>
          <cell r="B3899" t="str">
            <v>LABEL, MS LICENCE</v>
          </cell>
          <cell r="C3899">
            <v>0</v>
          </cell>
          <cell r="D3899">
            <v>65.459999999999994</v>
          </cell>
        </row>
        <row r="3900">
          <cell r="A3900" t="str">
            <v>9910065M</v>
          </cell>
          <cell r="B3900" t="str">
            <v>KIT 12.1" DISPLAY TOUCH W/CONTROLLER</v>
          </cell>
          <cell r="C3900">
            <v>0</v>
          </cell>
          <cell r="D3900">
            <v>295.05</v>
          </cell>
        </row>
        <row r="3901">
          <cell r="A3901" t="str">
            <v>9910066M</v>
          </cell>
          <cell r="B3901" t="str">
            <v>PWB TOUCH SCREEN CONTROLLER</v>
          </cell>
          <cell r="C3901">
            <v>0</v>
          </cell>
          <cell r="D3901">
            <v>14.07</v>
          </cell>
        </row>
        <row r="3902">
          <cell r="A3902" t="str">
            <v>9910067M</v>
          </cell>
          <cell r="B3902" t="str">
            <v>PWB PRISMA ECO</v>
          </cell>
          <cell r="C3902">
            <v>0</v>
          </cell>
          <cell r="D3902">
            <v>35.1</v>
          </cell>
        </row>
        <row r="3903">
          <cell r="A3903" t="str">
            <v>9910068M</v>
          </cell>
          <cell r="B3903" t="str">
            <v>PWB ZIPPY INVERTER</v>
          </cell>
          <cell r="C3903">
            <v>0</v>
          </cell>
          <cell r="D3903">
            <v>31.59</v>
          </cell>
        </row>
        <row r="3904">
          <cell r="A3904" t="str">
            <v>9910069M</v>
          </cell>
          <cell r="B3904" t="str">
            <v>CABLE PRISMA ECO LVDS</v>
          </cell>
          <cell r="C3904">
            <v>0</v>
          </cell>
          <cell r="D3904">
            <v>18.989999999999998</v>
          </cell>
        </row>
        <row r="3905">
          <cell r="A3905" t="str">
            <v>9910070M</v>
          </cell>
          <cell r="B3905" t="str">
            <v>CABLE EXTENSION INVERTER</v>
          </cell>
          <cell r="C3905">
            <v>0</v>
          </cell>
          <cell r="D3905">
            <v>14.07</v>
          </cell>
        </row>
        <row r="3906">
          <cell r="A3906" t="str">
            <v>9910071M</v>
          </cell>
          <cell r="B3906" t="str">
            <v>CABLE INVERTER</v>
          </cell>
          <cell r="C3906">
            <v>0</v>
          </cell>
          <cell r="D3906">
            <v>18.989999999999998</v>
          </cell>
        </row>
        <row r="3907">
          <cell r="A3907" t="str">
            <v>9910072M</v>
          </cell>
          <cell r="B3907" t="str">
            <v>CABLE DVI/RS232 AIDA-HD CONNECT EXERNAL</v>
          </cell>
          <cell r="C3907">
            <v>0</v>
          </cell>
          <cell r="D3907">
            <v>127.07</v>
          </cell>
        </row>
        <row r="3908">
          <cell r="A3908" t="str">
            <v>9910073M</v>
          </cell>
          <cell r="B3908" t="str">
            <v>CABLE CONTROL TO REAR PNL AIDA-HD CONNECT</v>
          </cell>
          <cell r="C3908">
            <v>0</v>
          </cell>
          <cell r="D3908">
            <v>98.35</v>
          </cell>
        </row>
        <row r="3909">
          <cell r="A3909" t="str">
            <v>9910074M</v>
          </cell>
          <cell r="B3909" t="str">
            <v>CABINET LATCH TOUCH DOOR</v>
          </cell>
          <cell r="C3909">
            <v>0</v>
          </cell>
          <cell r="D3909">
            <v>4.3</v>
          </cell>
        </row>
        <row r="3910">
          <cell r="A3910" t="str">
            <v>9910075M</v>
          </cell>
          <cell r="B3910" t="str">
            <v>SCREW SPRING PLUNGER SS M8X1.0-6GX16MM LONG</v>
          </cell>
          <cell r="C3910">
            <v>0</v>
          </cell>
          <cell r="D3910">
            <v>8.9</v>
          </cell>
        </row>
        <row r="3911">
          <cell r="A3911" t="str">
            <v>9910076M</v>
          </cell>
          <cell r="B3911" t="str">
            <v>Federndes Druckstück GN615-M8-KN</v>
          </cell>
          <cell r="C3911">
            <v>0</v>
          </cell>
          <cell r="D3911">
            <v>9.4</v>
          </cell>
        </row>
        <row r="3912">
          <cell r="A3912" t="str">
            <v>9910077M</v>
          </cell>
          <cell r="B3912" t="str">
            <v>Tape, Kapton, 25mmx33m</v>
          </cell>
          <cell r="C3912">
            <v>5</v>
          </cell>
          <cell r="D3912">
            <v>52.05</v>
          </cell>
        </row>
        <row r="3913">
          <cell r="A3913" t="str">
            <v>9910078M</v>
          </cell>
          <cell r="B3913" t="str">
            <v>Hospital Grade Stromkabel, 110V</v>
          </cell>
          <cell r="C3913">
            <v>0</v>
          </cell>
          <cell r="D3913">
            <v>13.3</v>
          </cell>
        </row>
        <row r="3914">
          <cell r="A3914" t="str">
            <v>9910079M</v>
          </cell>
          <cell r="B3914" t="str">
            <v>Minisymbol Warnung vor Gefahrenstelle</v>
          </cell>
          <cell r="C3914">
            <v>0</v>
          </cell>
          <cell r="D3914">
            <v>5.35</v>
          </cell>
        </row>
        <row r="3915">
          <cell r="A3915" t="str">
            <v>9910080M</v>
          </cell>
          <cell r="B3915" t="str">
            <v>17" Easy Panel für Patiententerminal</v>
          </cell>
          <cell r="C3915">
            <v>0</v>
          </cell>
          <cell r="D3915">
            <v>709</v>
          </cell>
        </row>
        <row r="3916">
          <cell r="A3916" t="str">
            <v>9910081M</v>
          </cell>
          <cell r="B3916" t="str">
            <v>Gehäuse Karl Storz AIDA control III</v>
          </cell>
          <cell r="C3916">
            <v>0</v>
          </cell>
          <cell r="D3916">
            <v>480</v>
          </cell>
        </row>
        <row r="3917">
          <cell r="A3917" t="str">
            <v>9910082M</v>
          </cell>
          <cell r="B3917" t="str">
            <v>Gehäuse Karl Storz AIDA control III (BLUE-RAY)</v>
          </cell>
          <cell r="C3917">
            <v>0</v>
          </cell>
          <cell r="D3917">
            <v>480</v>
          </cell>
        </row>
        <row r="3918">
          <cell r="A3918" t="str">
            <v>9910083M</v>
          </cell>
          <cell r="B3918" t="str">
            <v>Front Panel + Front Foil AIDA HD connect 20205520</v>
          </cell>
          <cell r="C3918">
            <v>0</v>
          </cell>
          <cell r="D3918">
            <v>54.6</v>
          </cell>
        </row>
        <row r="3919">
          <cell r="A3919" t="str">
            <v>9910084M</v>
          </cell>
          <cell r="B3919" t="str">
            <v>Front Panel + Front Foil AIDA HD connect 20205620</v>
          </cell>
          <cell r="C3919">
            <v>0</v>
          </cell>
          <cell r="D3919">
            <v>28.5</v>
          </cell>
        </row>
        <row r="3920">
          <cell r="A3920" t="str">
            <v>9910085M</v>
          </cell>
          <cell r="B3920" t="str">
            <v>KSI Packaging SET</v>
          </cell>
          <cell r="C3920">
            <v>0</v>
          </cell>
          <cell r="D3920">
            <v>38.96</v>
          </cell>
        </row>
        <row r="3921">
          <cell r="A3921" t="str">
            <v>9910086M</v>
          </cell>
          <cell r="B3921" t="str">
            <v>Gehäuse Patiententerminal - Wandversion ohne EC</v>
          </cell>
          <cell r="C3921">
            <v>0</v>
          </cell>
          <cell r="D3921">
            <v>997</v>
          </cell>
        </row>
        <row r="3922">
          <cell r="A3922" t="str">
            <v>9910087M</v>
          </cell>
          <cell r="B3922" t="str">
            <v>Gehäuse Patiententerminal - Wandversion mit EC</v>
          </cell>
          <cell r="C3922">
            <v>0</v>
          </cell>
          <cell r="D3922">
            <v>1035</v>
          </cell>
        </row>
        <row r="3923">
          <cell r="A3923" t="str">
            <v>9910088M</v>
          </cell>
          <cell r="B3923" t="str">
            <v>Artema Modular (Controller basiert) mit ACR Manual</v>
          </cell>
          <cell r="C3923">
            <v>0</v>
          </cell>
          <cell r="D3923">
            <v>1008</v>
          </cell>
        </row>
        <row r="3924">
          <cell r="A3924" t="str">
            <v>9910089M</v>
          </cell>
          <cell r="B3924" t="str">
            <v>Gasket Front AIDA HD Smartscreen</v>
          </cell>
          <cell r="C3924">
            <v>0</v>
          </cell>
          <cell r="D3924">
            <v>3.2</v>
          </cell>
        </row>
        <row r="3925">
          <cell r="A3925" t="str">
            <v>9910090M</v>
          </cell>
          <cell r="B3925" t="str">
            <v>OPTICAL DRIVE TRAY SCREWLESS</v>
          </cell>
          <cell r="C3925">
            <v>0</v>
          </cell>
          <cell r="D3925">
            <v>0</v>
          </cell>
        </row>
        <row r="3926">
          <cell r="A3926" t="str">
            <v>9910091M</v>
          </cell>
          <cell r="B3926" t="str">
            <v>BACK PLATE, SWITCH, POWER AIDA HD, DELRIN</v>
          </cell>
          <cell r="C3926">
            <v>0</v>
          </cell>
          <cell r="D3926">
            <v>0.34</v>
          </cell>
        </row>
        <row r="3927">
          <cell r="A3927" t="str">
            <v>9910092M</v>
          </cell>
          <cell r="B3927" t="str">
            <v>ADMIN MANUAL AIDA HD CONNECT</v>
          </cell>
          <cell r="C3927">
            <v>0</v>
          </cell>
          <cell r="D3927">
            <v>0</v>
          </cell>
        </row>
        <row r="3928">
          <cell r="A3928" t="str">
            <v>9910093M</v>
          </cell>
          <cell r="B3928" t="str">
            <v>LABEL THERMOSCRIPT SILVER MATT 50 X 15 MM</v>
          </cell>
          <cell r="C3928">
            <v>0</v>
          </cell>
          <cell r="D3928">
            <v>0</v>
          </cell>
        </row>
        <row r="3929">
          <cell r="A3929" t="str">
            <v>9910094M</v>
          </cell>
          <cell r="B3929" t="str">
            <v>KSI Packaging SET, FOAM</v>
          </cell>
          <cell r="C3929">
            <v>0</v>
          </cell>
          <cell r="D3929">
            <v>50</v>
          </cell>
        </row>
        <row r="3930">
          <cell r="A3930" t="str">
            <v>9910095M</v>
          </cell>
          <cell r="B3930" t="str">
            <v>KSI Fußschalter</v>
          </cell>
          <cell r="C3930">
            <v>0</v>
          </cell>
          <cell r="D3930">
            <v>315</v>
          </cell>
        </row>
        <row r="3931">
          <cell r="A3931" t="str">
            <v>9910096M</v>
          </cell>
          <cell r="B3931" t="str">
            <v>Zylinderschraube ISK M4x12mm,A2,Tuflok; 0,95 Nm</v>
          </cell>
          <cell r="C3931">
            <v>0</v>
          </cell>
          <cell r="D3931">
            <v>0.01</v>
          </cell>
        </row>
        <row r="3932">
          <cell r="A3932" t="str">
            <v>9910097M</v>
          </cell>
          <cell r="B3932" t="str">
            <v>Unterlegscheibe M4, A2, ISO7089</v>
          </cell>
          <cell r="C3932">
            <v>0</v>
          </cell>
          <cell r="D3932">
            <v>0.05</v>
          </cell>
        </row>
        <row r="3933">
          <cell r="A3933" t="str">
            <v>9910098M</v>
          </cell>
          <cell r="B3933" t="str">
            <v>Zylinderschraube ISK M4x8mm, A2, Tuflok; 0,8 Nm</v>
          </cell>
          <cell r="C3933">
            <v>0</v>
          </cell>
          <cell r="D3933">
            <v>0.05</v>
          </cell>
        </row>
        <row r="3934">
          <cell r="A3934" t="str">
            <v>9910099M</v>
          </cell>
          <cell r="B3934" t="str">
            <v>Linsenkopfschraube ISK M3x8mm,A2,Tuflok; 0,5 Nm</v>
          </cell>
          <cell r="C3934">
            <v>0</v>
          </cell>
          <cell r="D3934">
            <v>0.01</v>
          </cell>
        </row>
        <row r="3935">
          <cell r="A3935" t="str">
            <v>9910100M</v>
          </cell>
          <cell r="B3935" t="str">
            <v>Linsenkopfschraube ISK M3x5mm,A2,Tuflok; 0,5 Nm</v>
          </cell>
          <cell r="C3935">
            <v>0</v>
          </cell>
          <cell r="D3935">
            <v>0.01</v>
          </cell>
        </row>
        <row r="3936">
          <cell r="A3936" t="str">
            <v>9910101M</v>
          </cell>
          <cell r="B3936" t="str">
            <v>Sechskantmutter M5 mit Flansch DIN6923</v>
          </cell>
          <cell r="C3936">
            <v>0</v>
          </cell>
          <cell r="D3936">
            <v>0.13</v>
          </cell>
        </row>
        <row r="3937">
          <cell r="A3937" t="str">
            <v>9910102M</v>
          </cell>
          <cell r="B3937" t="str">
            <v>Senkkopfschraube Torx M3x5mm, A2, Tuflok; 0,5 Nm</v>
          </cell>
          <cell r="C3937">
            <v>0</v>
          </cell>
          <cell r="D3937">
            <v>0.01</v>
          </cell>
        </row>
        <row r="3938">
          <cell r="A3938" t="str">
            <v>9910103M</v>
          </cell>
          <cell r="B3938" t="str">
            <v>Senkkopfschraube Torx M2,5x5mm, A2, Tuflok; 0,5 Nm</v>
          </cell>
          <cell r="C3938">
            <v>0</v>
          </cell>
          <cell r="D3938">
            <v>0.01</v>
          </cell>
        </row>
        <row r="3939">
          <cell r="A3939" t="str">
            <v>9910104M</v>
          </cell>
          <cell r="B3939" t="str">
            <v>Flachkopfschr. Schlitz M2,3x10mm,A2,Tuflok; 0,5 Nm</v>
          </cell>
          <cell r="C3939">
            <v>0</v>
          </cell>
          <cell r="D3939">
            <v>0.05</v>
          </cell>
        </row>
        <row r="3940">
          <cell r="A3940" t="str">
            <v>9910105M</v>
          </cell>
          <cell r="B3940" t="str">
            <v>Schienen Adaption AESCU.certus</v>
          </cell>
          <cell r="C3940">
            <v>0</v>
          </cell>
          <cell r="D3940">
            <v>41.7</v>
          </cell>
        </row>
        <row r="3941">
          <cell r="A3941" t="str">
            <v>9910106M</v>
          </cell>
          <cell r="B3941" t="str">
            <v>SEMS M2,5x5mm, A2</v>
          </cell>
          <cell r="C3941">
            <v>0</v>
          </cell>
          <cell r="D3941">
            <v>0.34</v>
          </cell>
        </row>
        <row r="3942">
          <cell r="A3942" t="str">
            <v>9910107M</v>
          </cell>
          <cell r="B3942" t="str">
            <v>RATING LABEL KS AHDC WITH SMARTSCREEN (BLU-RAY)</v>
          </cell>
          <cell r="C3942">
            <v>0</v>
          </cell>
          <cell r="D3942">
            <v>0</v>
          </cell>
        </row>
        <row r="3943">
          <cell r="A3943" t="str">
            <v>9910107M_A</v>
          </cell>
          <cell r="B3943" t="str">
            <v>Aufkleber Typenschild 20205601-140</v>
          </cell>
          <cell r="C3943">
            <v>-64</v>
          </cell>
          <cell r="D3943">
            <v>0</v>
          </cell>
        </row>
        <row r="3944">
          <cell r="A3944" t="str">
            <v>9910107M_B</v>
          </cell>
          <cell r="B3944" t="str">
            <v>Aufkleber Typenschild 20205501-140</v>
          </cell>
          <cell r="C3944">
            <v>-1019</v>
          </cell>
          <cell r="D3944">
            <v>0</v>
          </cell>
        </row>
        <row r="3945">
          <cell r="A3945" t="str">
            <v>9910107M_C</v>
          </cell>
          <cell r="B3945" t="str">
            <v>Aufkleber Typenschild 20205501-140</v>
          </cell>
          <cell r="C3945">
            <v>-1023</v>
          </cell>
          <cell r="D3945">
            <v>0</v>
          </cell>
        </row>
        <row r="3946">
          <cell r="A3946" t="str">
            <v>9910108M</v>
          </cell>
          <cell r="B3946" t="str">
            <v>RATING LABEL KS AHDC WITH SMARTSCREEN (DVD)</v>
          </cell>
          <cell r="C3946">
            <v>0</v>
          </cell>
          <cell r="D3946">
            <v>0</v>
          </cell>
        </row>
        <row r="3947">
          <cell r="A3947" t="str">
            <v>9910109M</v>
          </cell>
          <cell r="B3947" t="str">
            <v>RATING LABEL KS AHDC WITHOUT SMARTSCREEN (BLU-RAY)</v>
          </cell>
          <cell r="C3947">
            <v>0</v>
          </cell>
          <cell r="D3947">
            <v>0</v>
          </cell>
        </row>
        <row r="3948">
          <cell r="A3948" t="str">
            <v>9910109M_A</v>
          </cell>
          <cell r="B3948" t="str">
            <v>Aufkleber Typenschild 20205602-1</v>
          </cell>
          <cell r="C3948">
            <v>-4</v>
          </cell>
          <cell r="D3948">
            <v>0</v>
          </cell>
        </row>
        <row r="3949">
          <cell r="A3949" t="str">
            <v>9910109M_B</v>
          </cell>
          <cell r="B3949" t="str">
            <v>Aufkleber Typenschild 20205502-1</v>
          </cell>
          <cell r="C3949">
            <v>-20</v>
          </cell>
          <cell r="D3949">
            <v>0</v>
          </cell>
        </row>
        <row r="3950">
          <cell r="A3950" t="str">
            <v>9910109M_C</v>
          </cell>
          <cell r="B3950" t="str">
            <v>Aufkleber Typenschild 20205502-1</v>
          </cell>
          <cell r="C3950">
            <v>-21</v>
          </cell>
          <cell r="D3950">
            <v>0</v>
          </cell>
        </row>
        <row r="3951">
          <cell r="A3951" t="str">
            <v>9910110M</v>
          </cell>
          <cell r="B3951" t="str">
            <v>Torque Insert Removal Tool</v>
          </cell>
          <cell r="C3951">
            <v>0</v>
          </cell>
          <cell r="D3951">
            <v>0</v>
          </cell>
        </row>
        <row r="3952">
          <cell r="A3952" t="str">
            <v>9910111M</v>
          </cell>
          <cell r="B3952" t="str">
            <v>Torque Insert Mounting Tool</v>
          </cell>
          <cell r="C3952">
            <v>0</v>
          </cell>
          <cell r="D3952">
            <v>0</v>
          </cell>
        </row>
        <row r="3953">
          <cell r="A3953" t="str">
            <v>9910112M</v>
          </cell>
          <cell r="B3953" t="str">
            <v>RATING LABEL KS AHDC WITHOUT SMARTSCREEN (DVD)</v>
          </cell>
          <cell r="C3953">
            <v>0</v>
          </cell>
          <cell r="D3953">
            <v>0</v>
          </cell>
        </row>
        <row r="3954">
          <cell r="A3954" t="str">
            <v>9910113M</v>
          </cell>
          <cell r="B3954" t="str">
            <v>SERIAL NUMBER LABEL KS AHDC</v>
          </cell>
          <cell r="C3954">
            <v>0</v>
          </cell>
          <cell r="D3954">
            <v>0</v>
          </cell>
        </row>
        <row r="3955">
          <cell r="A3955" t="str">
            <v>9910113M_A</v>
          </cell>
          <cell r="B3955" t="str">
            <v>Aufkleber Seriennummer KSI</v>
          </cell>
          <cell r="C3955">
            <v>-8720</v>
          </cell>
          <cell r="D3955">
            <v>0</v>
          </cell>
        </row>
        <row r="3956">
          <cell r="A3956" t="str">
            <v>9910114M</v>
          </cell>
          <cell r="B3956" t="str">
            <v>SHIPPING LABEL KS AHDC WITH SMARTSCREEN (BLU-RAY)</v>
          </cell>
          <cell r="C3956">
            <v>0</v>
          </cell>
          <cell r="D3956">
            <v>0</v>
          </cell>
        </row>
        <row r="3957">
          <cell r="A3957" t="str">
            <v>9910114M_B</v>
          </cell>
          <cell r="B3957" t="str">
            <v>Aufkleber Shipping 20205601-140</v>
          </cell>
          <cell r="C3957">
            <v>-128</v>
          </cell>
          <cell r="D3957">
            <v>0</v>
          </cell>
        </row>
        <row r="3958">
          <cell r="A3958" t="str">
            <v>9910114M_C</v>
          </cell>
          <cell r="B3958" t="str">
            <v>Aufkleber Shipping 20205501-140</v>
          </cell>
          <cell r="C3958">
            <v>-4084</v>
          </cell>
          <cell r="D3958">
            <v>0</v>
          </cell>
        </row>
        <row r="3959">
          <cell r="A3959" t="str">
            <v>9910115M</v>
          </cell>
          <cell r="B3959" t="str">
            <v>Desktop Gehäuse MKT PANA.ceia</v>
          </cell>
          <cell r="C3959">
            <v>0</v>
          </cell>
          <cell r="D3959">
            <v>137.44999999999999</v>
          </cell>
        </row>
        <row r="3960">
          <cell r="A3960" t="str">
            <v>9910116M</v>
          </cell>
          <cell r="B3960" t="str">
            <v>SHIPPING LABEL KS AHDC WITH SMARTSCREEN (DVD)</v>
          </cell>
          <cell r="C3960">
            <v>0</v>
          </cell>
          <cell r="D3960">
            <v>0</v>
          </cell>
        </row>
        <row r="3961">
          <cell r="A3961" t="str">
            <v>9910117M</v>
          </cell>
          <cell r="B3961" t="str">
            <v>SHIPPING LABEL KS AHDC WITHOUT SMARTSCREEN (DVD)</v>
          </cell>
          <cell r="C3961">
            <v>0</v>
          </cell>
          <cell r="D3961">
            <v>0</v>
          </cell>
        </row>
        <row r="3962">
          <cell r="A3962" t="str">
            <v>9910118M</v>
          </cell>
          <cell r="B3962" t="str">
            <v>SHIPPING LABEL KS AHDC WITHOUT SMARTSCREEN (BLU-R)</v>
          </cell>
          <cell r="C3962">
            <v>0</v>
          </cell>
          <cell r="D3962">
            <v>0</v>
          </cell>
        </row>
        <row r="3963">
          <cell r="A3963" t="str">
            <v>9910118M_B</v>
          </cell>
          <cell r="B3963" t="str">
            <v>Aufkleber Shipping 20205602-1</v>
          </cell>
          <cell r="C3963">
            <v>-8</v>
          </cell>
          <cell r="D3963">
            <v>0</v>
          </cell>
        </row>
        <row r="3964">
          <cell r="A3964" t="str">
            <v>9910118M_C</v>
          </cell>
          <cell r="B3964" t="str">
            <v>Aufkleber Shipping 20205502-1</v>
          </cell>
          <cell r="C3964">
            <v>-82</v>
          </cell>
          <cell r="D3964">
            <v>0</v>
          </cell>
        </row>
        <row r="3965">
          <cell r="A3965" t="str">
            <v>9910119M</v>
          </cell>
          <cell r="B3965" t="str">
            <v>Blindstopfen KST AIDA NEO</v>
          </cell>
          <cell r="C3965">
            <v>0</v>
          </cell>
          <cell r="D3965">
            <v>0.23</v>
          </cell>
        </row>
        <row r="3966">
          <cell r="A3966" t="str">
            <v>9910120M</v>
          </cell>
          <cell r="B3966" t="str">
            <v>Cable, Matrox DVI Y-I/0, AIDA HDC</v>
          </cell>
          <cell r="C3966">
            <v>0</v>
          </cell>
          <cell r="D3966">
            <v>0.01</v>
          </cell>
        </row>
        <row r="3967">
          <cell r="A3967" t="str">
            <v>9910121M</v>
          </cell>
          <cell r="B3967" t="str">
            <v>Cable, Matrox Audio, AIDA HDC</v>
          </cell>
          <cell r="C3967">
            <v>20</v>
          </cell>
          <cell r="D3967">
            <v>25</v>
          </cell>
        </row>
        <row r="3968">
          <cell r="A3968" t="str">
            <v>9910122M</v>
          </cell>
          <cell r="B3968" t="str">
            <v>Frontplatte KS AIDA control II, 20046020</v>
          </cell>
          <cell r="C3968">
            <v>0</v>
          </cell>
          <cell r="D3968">
            <v>59</v>
          </cell>
        </row>
        <row r="3969">
          <cell r="A3969" t="str">
            <v>9910123M</v>
          </cell>
          <cell r="B3969" t="str">
            <v>Senkkopfschraube Torx M3x6mm, A2, Tuflok; 0,8 Nm</v>
          </cell>
          <cell r="C3969">
            <v>0</v>
          </cell>
          <cell r="D3969">
            <v>0.01</v>
          </cell>
        </row>
        <row r="3970">
          <cell r="A3970" t="str">
            <v>9910124M</v>
          </cell>
          <cell r="B3970" t="str">
            <v>Montagerahmen Torque Insert</v>
          </cell>
          <cell r="C3970">
            <v>0</v>
          </cell>
          <cell r="D3970">
            <v>925</v>
          </cell>
        </row>
        <row r="3971">
          <cell r="A3971" t="str">
            <v>9910125M</v>
          </cell>
          <cell r="B3971" t="str">
            <v>RATING LABEL OR1 CONTROL NEO 20097120</v>
          </cell>
          <cell r="C3971">
            <v>0</v>
          </cell>
          <cell r="D3971">
            <v>0</v>
          </cell>
        </row>
        <row r="3972">
          <cell r="A3972" t="str">
            <v>9910125M_A</v>
          </cell>
          <cell r="B3972" t="str">
            <v>Aufkleber Typenschild OR1 Control NEO 20097120-1C</v>
          </cell>
          <cell r="C3972">
            <v>-558</v>
          </cell>
          <cell r="D3972">
            <v>0</v>
          </cell>
        </row>
        <row r="3973">
          <cell r="A3973" t="str">
            <v>9910125M_B</v>
          </cell>
          <cell r="B3973" t="str">
            <v>Aufkleber Typenschild OR1 Control NEO 20097120-1C</v>
          </cell>
          <cell r="C3973">
            <v>-838</v>
          </cell>
          <cell r="D3973">
            <v>0</v>
          </cell>
        </row>
        <row r="3974">
          <cell r="A3974" t="str">
            <v>9910126M</v>
          </cell>
          <cell r="B3974" t="str">
            <v>SERIAL NUMBER LABEL OR1 CONTROL NEO 20097120</v>
          </cell>
          <cell r="C3974">
            <v>0</v>
          </cell>
          <cell r="D3974">
            <v>0</v>
          </cell>
        </row>
        <row r="3975">
          <cell r="A3975" t="str">
            <v>9910126M_A</v>
          </cell>
          <cell r="B3975" t="str">
            <v>Aufkleber Seriennummer OR1 Control NEO 20097120-1C</v>
          </cell>
          <cell r="C3975">
            <v>-698</v>
          </cell>
          <cell r="D3975">
            <v>0</v>
          </cell>
        </row>
        <row r="3976">
          <cell r="A3976" t="str">
            <v>9910127M</v>
          </cell>
          <cell r="B3976" t="str">
            <v>RATING LABEL AIDA CONTROL NEO DVD 20046120-A</v>
          </cell>
          <cell r="C3976">
            <v>0</v>
          </cell>
          <cell r="D3976">
            <v>0</v>
          </cell>
        </row>
        <row r="3977">
          <cell r="A3977" t="str">
            <v>9910128M</v>
          </cell>
          <cell r="B3977" t="str">
            <v>SERIAL NUMBER LABEL AIDA CONTROL NEO DVD20046120-A</v>
          </cell>
          <cell r="C3977">
            <v>0</v>
          </cell>
          <cell r="D3977">
            <v>0</v>
          </cell>
        </row>
        <row r="3978">
          <cell r="A3978" t="str">
            <v>9910128M_A</v>
          </cell>
          <cell r="B3978" t="str">
            <v>Aufkleber Seriennummer AIDA Control NEO 20046120-A</v>
          </cell>
          <cell r="C3978">
            <v>0</v>
          </cell>
          <cell r="D3978">
            <v>0</v>
          </cell>
        </row>
        <row r="3979">
          <cell r="A3979" t="str">
            <v>9910129M</v>
          </cell>
          <cell r="B3979" t="str">
            <v>RATING LABEL AIDA CONTROL NEO BD 20046120-B</v>
          </cell>
          <cell r="C3979">
            <v>0</v>
          </cell>
          <cell r="D3979">
            <v>0</v>
          </cell>
        </row>
        <row r="3980">
          <cell r="A3980" t="str">
            <v>9910130M</v>
          </cell>
          <cell r="B3980" t="str">
            <v>SERIAL NUMBER LABEL AIDA CONTROL NEO BD 20046120-B</v>
          </cell>
          <cell r="C3980">
            <v>0</v>
          </cell>
          <cell r="D3980">
            <v>0</v>
          </cell>
        </row>
        <row r="3981">
          <cell r="A3981" t="str">
            <v>9910131M</v>
          </cell>
          <cell r="B3981" t="str">
            <v>RATING LABEL AIDA CONTROL NEO DVD SD 20046120-C</v>
          </cell>
          <cell r="C3981">
            <v>0</v>
          </cell>
          <cell r="D3981">
            <v>0</v>
          </cell>
        </row>
        <row r="3982">
          <cell r="A3982" t="str">
            <v>9910132M</v>
          </cell>
          <cell r="B3982" t="str">
            <v>SERIAL NUMBER LABEL AIDA CON NEO DVD SD 20046120-C</v>
          </cell>
          <cell r="C3982">
            <v>0</v>
          </cell>
          <cell r="D3982">
            <v>0</v>
          </cell>
        </row>
        <row r="3983">
          <cell r="A3983" t="str">
            <v>9910133M</v>
          </cell>
          <cell r="B3983" t="str">
            <v>RIVSCREW, 3.5 mm x 10.1 mm LG, FLT. HD, SELF TAP</v>
          </cell>
          <cell r="C3983">
            <v>0</v>
          </cell>
          <cell r="D3983">
            <v>0.08</v>
          </cell>
        </row>
        <row r="3984">
          <cell r="A3984" t="str">
            <v>9910134M</v>
          </cell>
          <cell r="B3984" t="str">
            <v>SHIPPING LABEL ARTH HDC WITH SMARTSCREEN (BLU-RAY)</v>
          </cell>
          <cell r="C3984">
            <v>0</v>
          </cell>
          <cell r="D3984">
            <v>0</v>
          </cell>
        </row>
        <row r="3985">
          <cell r="A3985" t="str">
            <v>9910135M</v>
          </cell>
          <cell r="B3985" t="str">
            <v>SHIPPING LABEL ARTH HDC W/O SMARTSCREEN (BLU-RAY)</v>
          </cell>
          <cell r="C3985">
            <v>0</v>
          </cell>
          <cell r="D3985">
            <v>0</v>
          </cell>
        </row>
        <row r="3986">
          <cell r="A3986" t="str">
            <v>9910136M</v>
          </cell>
          <cell r="B3986" t="str">
            <v>SHIPPING LABEL ARTH HDC WITH SMARTSCREEN (DVD)</v>
          </cell>
          <cell r="C3986">
            <v>0</v>
          </cell>
          <cell r="D3986">
            <v>0</v>
          </cell>
        </row>
        <row r="3987">
          <cell r="A3987" t="str">
            <v>9910137M</v>
          </cell>
          <cell r="B3987" t="str">
            <v>SHIPPING LABEL ARTH HDC W/O SMARTSCREEN (BLU-RAY)</v>
          </cell>
          <cell r="C3987">
            <v>0</v>
          </cell>
          <cell r="D3987">
            <v>0</v>
          </cell>
        </row>
        <row r="3988">
          <cell r="A3988" t="str">
            <v>9910138M</v>
          </cell>
          <cell r="B3988" t="str">
            <v>RATING LABEL ARTH HDC WITH SMARTSCREEN (BLU-RAY)</v>
          </cell>
          <cell r="C3988">
            <v>0</v>
          </cell>
          <cell r="D3988">
            <v>0</v>
          </cell>
        </row>
        <row r="3989">
          <cell r="A3989" t="str">
            <v>9910139M</v>
          </cell>
          <cell r="B3989" t="str">
            <v>RATING LABEL ARTH HDC W/O SMARTSCREEN (BLU-RAY)</v>
          </cell>
          <cell r="C3989">
            <v>0</v>
          </cell>
          <cell r="D3989">
            <v>0</v>
          </cell>
        </row>
        <row r="3990">
          <cell r="A3990" t="str">
            <v>9910140M</v>
          </cell>
          <cell r="B3990" t="str">
            <v>RATING LABEL ARTH HDC WITH SMARTSCREEN (DVD)</v>
          </cell>
          <cell r="C3990">
            <v>0</v>
          </cell>
          <cell r="D3990">
            <v>0</v>
          </cell>
        </row>
        <row r="3991">
          <cell r="A3991" t="str">
            <v>9910141M</v>
          </cell>
          <cell r="B3991" t="str">
            <v>RATING LABEL ARTH HDC W/O SMARTSCREEN (DVD)</v>
          </cell>
          <cell r="C3991">
            <v>0</v>
          </cell>
          <cell r="D3991">
            <v>0</v>
          </cell>
        </row>
        <row r="3992">
          <cell r="A3992" t="str">
            <v>9910142M</v>
          </cell>
          <cell r="B3992" t="str">
            <v>SERIAL NUMBER LABEL VEIO.VIS</v>
          </cell>
          <cell r="C3992">
            <v>0</v>
          </cell>
          <cell r="D3992">
            <v>0</v>
          </cell>
        </row>
        <row r="3993">
          <cell r="A3993" t="str">
            <v>9910143M</v>
          </cell>
          <cell r="B3993" t="str">
            <v>Front Panel with  Front Foil Arthrex IR8600</v>
          </cell>
          <cell r="C3993">
            <v>0</v>
          </cell>
          <cell r="D3993">
            <v>0</v>
          </cell>
        </row>
        <row r="3994">
          <cell r="A3994" t="str">
            <v>9910144M</v>
          </cell>
          <cell r="B3994" t="str">
            <v>Front Panel with  Front Foil Arthrex IR8700</v>
          </cell>
          <cell r="C3994">
            <v>0</v>
          </cell>
          <cell r="D3994">
            <v>0</v>
          </cell>
        </row>
        <row r="3995">
          <cell r="A3995" t="str">
            <v>9910145M</v>
          </cell>
          <cell r="B3995" t="str">
            <v>Distanzhülse Plastik M4, 3mm LANG</v>
          </cell>
          <cell r="C3995">
            <v>0</v>
          </cell>
          <cell r="D3995">
            <v>0</v>
          </cell>
        </row>
        <row r="3996">
          <cell r="A3996" t="str">
            <v>9910146M</v>
          </cell>
          <cell r="B3996" t="str">
            <v>BTO Server - Atis</v>
          </cell>
          <cell r="C3996">
            <v>0</v>
          </cell>
          <cell r="D3996">
            <v>2020</v>
          </cell>
        </row>
        <row r="3997">
          <cell r="A3997" t="str">
            <v>9910147M</v>
          </cell>
          <cell r="B3997" t="str">
            <v>RJ45 LAN Label AMD</v>
          </cell>
          <cell r="C3997">
            <v>0</v>
          </cell>
          <cell r="D3997">
            <v>0</v>
          </cell>
        </row>
        <row r="3998">
          <cell r="A3998" t="str">
            <v>9910147M_A</v>
          </cell>
          <cell r="B3998" t="str">
            <v>Label "RJ45 LAN AMD"</v>
          </cell>
          <cell r="C3998">
            <v>-12</v>
          </cell>
          <cell r="D3998">
            <v>0</v>
          </cell>
        </row>
        <row r="3999">
          <cell r="A3999" t="str">
            <v>9910148M</v>
          </cell>
          <cell r="B3999" t="str">
            <v>FCC Model Number Label AMD</v>
          </cell>
          <cell r="C3999">
            <v>0</v>
          </cell>
          <cell r="D3999">
            <v>0</v>
          </cell>
        </row>
        <row r="4000">
          <cell r="A4000" t="str">
            <v>9910148M_A</v>
          </cell>
          <cell r="B4000" t="str">
            <v>Aufkleber FCC Model Number AMD</v>
          </cell>
          <cell r="C4000">
            <v>-26</v>
          </cell>
          <cell r="D4000">
            <v>0</v>
          </cell>
        </row>
        <row r="4001">
          <cell r="A4001" t="str">
            <v>9910149M</v>
          </cell>
          <cell r="B4001" t="str">
            <v>FCC Rules Part 15 Label AMD</v>
          </cell>
          <cell r="C4001">
            <v>0</v>
          </cell>
          <cell r="D4001">
            <v>0</v>
          </cell>
        </row>
        <row r="4002">
          <cell r="A4002" t="str">
            <v>9910149M_A</v>
          </cell>
          <cell r="B4002" t="str">
            <v>Aufkleber FCC Rules Part 15</v>
          </cell>
          <cell r="C4002">
            <v>-26</v>
          </cell>
          <cell r="D4002">
            <v>0</v>
          </cell>
        </row>
        <row r="4003">
          <cell r="A4003" t="str">
            <v>9910150M</v>
          </cell>
          <cell r="B4003" t="str">
            <v>System Label Cart AMD</v>
          </cell>
          <cell r="C4003">
            <v>0</v>
          </cell>
          <cell r="D4003">
            <v>0</v>
          </cell>
        </row>
        <row r="4004">
          <cell r="A4004" t="str">
            <v>9910150M_E</v>
          </cell>
          <cell r="B4004" t="str">
            <v>Label "System Cart AMD"</v>
          </cell>
          <cell r="C4004">
            <v>-8</v>
          </cell>
          <cell r="D4004">
            <v>0</v>
          </cell>
        </row>
        <row r="4005">
          <cell r="A4005" t="str">
            <v>9910150M_G</v>
          </cell>
          <cell r="B4005" t="str">
            <v>Label "System Cart AMD"</v>
          </cell>
          <cell r="C4005">
            <v>0</v>
          </cell>
          <cell r="D4005">
            <v>0</v>
          </cell>
        </row>
        <row r="4006">
          <cell r="A4006" t="str">
            <v>9910151M</v>
          </cell>
          <cell r="B4006" t="str">
            <v>System Label PANA.ceia AMD</v>
          </cell>
          <cell r="C4006">
            <v>0</v>
          </cell>
          <cell r="D4006">
            <v>0</v>
          </cell>
        </row>
        <row r="4007">
          <cell r="A4007" t="str">
            <v>9910151M_E</v>
          </cell>
          <cell r="B4007" t="str">
            <v>Aufkleber PC AMD HistoScanning</v>
          </cell>
          <cell r="C4007">
            <v>0</v>
          </cell>
          <cell r="D4007">
            <v>0</v>
          </cell>
        </row>
        <row r="4008">
          <cell r="A4008" t="str">
            <v>9910151M_G</v>
          </cell>
          <cell r="B4008" t="str">
            <v>Aufkleber PC AMD HistoScanning</v>
          </cell>
          <cell r="C4008">
            <v>-8</v>
          </cell>
          <cell r="D4008">
            <v>0</v>
          </cell>
        </row>
        <row r="4009">
          <cell r="A4009" t="str">
            <v>9910152M</v>
          </cell>
          <cell r="B4009" t="str">
            <v>Frontplatte KS OR1 control, 20097120</v>
          </cell>
          <cell r="C4009">
            <v>0</v>
          </cell>
          <cell r="D4009">
            <v>0</v>
          </cell>
        </row>
        <row r="4010">
          <cell r="A4010" t="str">
            <v>9910153M</v>
          </cell>
          <cell r="B4010" t="str">
            <v>Caution Label US Maket AMD</v>
          </cell>
          <cell r="C4010">
            <v>0</v>
          </cell>
          <cell r="D4010">
            <v>0</v>
          </cell>
        </row>
        <row r="4011">
          <cell r="A4011" t="str">
            <v>9910153M_A</v>
          </cell>
          <cell r="B4011" t="str">
            <v>Label "Caution US"</v>
          </cell>
          <cell r="C4011">
            <v>-9</v>
          </cell>
          <cell r="D4011">
            <v>0</v>
          </cell>
        </row>
        <row r="4012">
          <cell r="A4012" t="str">
            <v>9910154M</v>
          </cell>
          <cell r="B4012" t="str">
            <v>Matrox Adapter DVI IN/OUT</v>
          </cell>
          <cell r="C4012">
            <v>-85</v>
          </cell>
          <cell r="D4012">
            <v>0</v>
          </cell>
        </row>
        <row r="4013">
          <cell r="A4013" t="str">
            <v>9910155M</v>
          </cell>
          <cell r="B4013" t="str">
            <v>Speicher USB Dongle MI-Report 20050020</v>
          </cell>
          <cell r="C4013">
            <v>0</v>
          </cell>
          <cell r="D4013">
            <v>0</v>
          </cell>
        </row>
        <row r="4014">
          <cell r="A4014" t="str">
            <v>9910156M</v>
          </cell>
          <cell r="B4014" t="str">
            <v>CASING COVER 40CM</v>
          </cell>
          <cell r="C4014">
            <v>10</v>
          </cell>
          <cell r="D4014">
            <v>88.7</v>
          </cell>
        </row>
        <row r="4015">
          <cell r="A4015" t="str">
            <v>9910157M</v>
          </cell>
          <cell r="B4015" t="str">
            <v>CASING BOTTOM AIDA HD CONNECT 40CM</v>
          </cell>
          <cell r="C4015">
            <v>0</v>
          </cell>
          <cell r="D4015">
            <v>0</v>
          </cell>
        </row>
        <row r="4016">
          <cell r="A4016" t="str">
            <v>9910158M</v>
          </cell>
          <cell r="B4016" t="str">
            <v>HOLDER 5-PCI-BRACKETS</v>
          </cell>
          <cell r="C4016">
            <v>0</v>
          </cell>
          <cell r="D4016">
            <v>0</v>
          </cell>
        </row>
        <row r="4017">
          <cell r="A4017" t="str">
            <v>9910159M</v>
          </cell>
          <cell r="B4017" t="str">
            <v>SLOT BRACKET BLIND</v>
          </cell>
          <cell r="C4017">
            <v>0</v>
          </cell>
          <cell r="D4017">
            <v>0</v>
          </cell>
        </row>
        <row r="4018">
          <cell r="A4018" t="str">
            <v>9910160M</v>
          </cell>
          <cell r="B4018" t="str">
            <v>POWER SUPPLY HOLDER</v>
          </cell>
          <cell r="C4018">
            <v>0</v>
          </cell>
          <cell r="D4018">
            <v>0</v>
          </cell>
        </row>
        <row r="4019">
          <cell r="A4019" t="str">
            <v>9910161M</v>
          </cell>
          <cell r="B4019" t="str">
            <v>SIDE PANEL RIGHT</v>
          </cell>
          <cell r="C4019">
            <v>0</v>
          </cell>
          <cell r="D4019">
            <v>0</v>
          </cell>
        </row>
        <row r="4020">
          <cell r="A4020" t="str">
            <v>9910162M</v>
          </cell>
          <cell r="B4020" t="str">
            <v>SIDE PANEL LEFT</v>
          </cell>
          <cell r="C4020">
            <v>0</v>
          </cell>
          <cell r="D4020">
            <v>0</v>
          </cell>
        </row>
        <row r="4021">
          <cell r="A4021" t="str">
            <v>9910163M</v>
          </cell>
          <cell r="B4021" t="str">
            <v>OPTICAL DRIVE TRAY SCREWLESS W GASKETS</v>
          </cell>
          <cell r="C4021">
            <v>0</v>
          </cell>
          <cell r="D4021">
            <v>0</v>
          </cell>
        </row>
        <row r="4022">
          <cell r="A4022" t="str">
            <v>9910164M</v>
          </cell>
          <cell r="B4022" t="str">
            <v>USB Stick 8 GB mit "KARL STORZ" Logo</v>
          </cell>
          <cell r="C4022">
            <v>0</v>
          </cell>
          <cell r="D4022">
            <v>15.3</v>
          </cell>
        </row>
        <row r="4023">
          <cell r="A4023" t="str">
            <v>9910165M</v>
          </cell>
          <cell r="B4023" t="str">
            <v>19" Umrüstkit für KS Systeme</v>
          </cell>
          <cell r="C4023">
            <v>0</v>
          </cell>
          <cell r="D4023">
            <v>98.15</v>
          </cell>
        </row>
        <row r="4024">
          <cell r="A4024" t="str">
            <v>9910166M</v>
          </cell>
          <cell r="B4024" t="str">
            <v>Frontplatte AIDA HD Connect</v>
          </cell>
          <cell r="C4024">
            <v>0</v>
          </cell>
          <cell r="D4024">
            <v>73</v>
          </cell>
        </row>
        <row r="4025">
          <cell r="A4025" t="str">
            <v>9910167M</v>
          </cell>
          <cell r="B4025" t="str">
            <v>RATING LABEL MKT Cellvizio Control</v>
          </cell>
          <cell r="C4025">
            <v>0</v>
          </cell>
          <cell r="D4025">
            <v>0</v>
          </cell>
        </row>
        <row r="4026">
          <cell r="A4026" t="str">
            <v>9910167M_C</v>
          </cell>
          <cell r="B4026" t="str">
            <v>Aufkleber Systemlabel MKT</v>
          </cell>
          <cell r="C4026">
            <v>0</v>
          </cell>
          <cell r="D4026">
            <v>0</v>
          </cell>
        </row>
        <row r="4027">
          <cell r="A4027" t="str">
            <v>9910167M_D</v>
          </cell>
          <cell r="B4027" t="str">
            <v>Aufkleber Systemlabel MKT</v>
          </cell>
          <cell r="C4027">
            <v>-186</v>
          </cell>
          <cell r="D4027">
            <v>0</v>
          </cell>
        </row>
        <row r="4028">
          <cell r="A4028" t="str">
            <v>9910167M_E</v>
          </cell>
          <cell r="B4028" t="str">
            <v>Aufkleber Systemlabel MKT</v>
          </cell>
          <cell r="C4028">
            <v>-120</v>
          </cell>
          <cell r="D4028">
            <v>0</v>
          </cell>
        </row>
        <row r="4029">
          <cell r="A4029" t="str">
            <v>9910168M</v>
          </cell>
          <cell r="B4029" t="str">
            <v>Frontplatte KS AIDA control, 200960 20</v>
          </cell>
          <cell r="C4029">
            <v>0</v>
          </cell>
          <cell r="D4029">
            <v>0</v>
          </cell>
        </row>
        <row r="4030">
          <cell r="A4030" t="str">
            <v>9910169M</v>
          </cell>
          <cell r="B4030" t="str">
            <v>Frontplatte KS AIDA control, 200960 20</v>
          </cell>
          <cell r="C4030">
            <v>0</v>
          </cell>
          <cell r="D4030">
            <v>0</v>
          </cell>
        </row>
        <row r="4031">
          <cell r="A4031" t="str">
            <v>9910170M</v>
          </cell>
          <cell r="B4031" t="str">
            <v>Frontplatte KS AIDA control, 200960 20</v>
          </cell>
          <cell r="C4031">
            <v>0</v>
          </cell>
          <cell r="D4031">
            <v>0</v>
          </cell>
        </row>
        <row r="4032">
          <cell r="A4032" t="str">
            <v>9910171M</v>
          </cell>
          <cell r="B4032" t="str">
            <v>SHIPPING LABEL MKT Cellvizio Control</v>
          </cell>
          <cell r="C4032">
            <v>0</v>
          </cell>
          <cell r="D4032">
            <v>0</v>
          </cell>
        </row>
        <row r="4033">
          <cell r="A4033" t="str">
            <v>9910172M</v>
          </cell>
          <cell r="B4033" t="str">
            <v>Channel Roller Left V-Groove modified</v>
          </cell>
          <cell r="C4033">
            <v>0</v>
          </cell>
          <cell r="D4033">
            <v>0</v>
          </cell>
        </row>
        <row r="4034">
          <cell r="A4034" t="str">
            <v>9910173M</v>
          </cell>
          <cell r="B4034" t="str">
            <v>LABEL FCC Rules MKT</v>
          </cell>
          <cell r="C4034">
            <v>0</v>
          </cell>
          <cell r="D4034">
            <v>0</v>
          </cell>
        </row>
        <row r="4035">
          <cell r="A4035" t="str">
            <v>9910173M_A</v>
          </cell>
          <cell r="B4035" t="str">
            <v>Aufkleber FCC RULES</v>
          </cell>
          <cell r="C4035">
            <v>-153</v>
          </cell>
          <cell r="D4035">
            <v>0</v>
          </cell>
        </row>
        <row r="4036">
          <cell r="A4036" t="str">
            <v>9910174M</v>
          </cell>
          <cell r="B4036" t="str">
            <v>SERIAL NUMBER LABEL MKT</v>
          </cell>
          <cell r="C4036">
            <v>0</v>
          </cell>
          <cell r="D4036">
            <v>0</v>
          </cell>
        </row>
        <row r="4037">
          <cell r="A4037" t="str">
            <v>9910175M</v>
          </cell>
          <cell r="B4037" t="str">
            <v>KST MI-Report Software DVD</v>
          </cell>
          <cell r="C4037">
            <v>0</v>
          </cell>
          <cell r="D4037">
            <v>0</v>
          </cell>
        </row>
        <row r="4038">
          <cell r="A4038" t="str">
            <v>9910176M</v>
          </cell>
          <cell r="B4038" t="str">
            <v>Frontplatte KS MI Report, 20050020</v>
          </cell>
          <cell r="C4038">
            <v>0</v>
          </cell>
          <cell r="D4038">
            <v>98</v>
          </cell>
        </row>
        <row r="4039">
          <cell r="A4039" t="str">
            <v>9910177M</v>
          </cell>
          <cell r="B4039" t="str">
            <v>Frontfolie KS AIDA control NEO, 20046120 neu</v>
          </cell>
          <cell r="C4039">
            <v>0</v>
          </cell>
          <cell r="D4039">
            <v>98</v>
          </cell>
        </row>
        <row r="4040">
          <cell r="A4040" t="str">
            <v>9910178M</v>
          </cell>
          <cell r="B4040" t="str">
            <v>Systemlabel ClinScanner PC</v>
          </cell>
          <cell r="C4040">
            <v>0</v>
          </cell>
          <cell r="D4040">
            <v>0</v>
          </cell>
        </row>
        <row r="4041">
          <cell r="A4041" t="str">
            <v>9910179M</v>
          </cell>
          <cell r="B4041" t="str">
            <v>Systemlabel ClinScanner Cart</v>
          </cell>
          <cell r="C4041">
            <v>0</v>
          </cell>
          <cell r="D4041">
            <v>0</v>
          </cell>
        </row>
        <row r="4042">
          <cell r="A4042" t="str">
            <v>9910180M</v>
          </cell>
          <cell r="B4042" t="str">
            <v>RATING LABEL MI-REPORT 20050020</v>
          </cell>
          <cell r="C4042">
            <v>0</v>
          </cell>
          <cell r="D4042">
            <v>0</v>
          </cell>
        </row>
        <row r="4043">
          <cell r="A4043" t="str">
            <v>9910180M_A</v>
          </cell>
          <cell r="B4043" t="str">
            <v>Aufkleber Typenschild MI-Report 20050020</v>
          </cell>
          <cell r="C4043">
            <v>0</v>
          </cell>
          <cell r="D4043">
            <v>0</v>
          </cell>
        </row>
        <row r="4044">
          <cell r="A4044" t="str">
            <v>9910181M</v>
          </cell>
          <cell r="B4044" t="str">
            <v>EMC GASKET FOR MKT PANA.CEIA HOUSING</v>
          </cell>
          <cell r="C4044">
            <v>0</v>
          </cell>
          <cell r="D4044">
            <v>0</v>
          </cell>
        </row>
        <row r="4045">
          <cell r="A4045" t="str">
            <v>9910182M</v>
          </cell>
          <cell r="B4045" t="str">
            <v>Konformitätserklärung</v>
          </cell>
          <cell r="C4045">
            <v>-96</v>
          </cell>
          <cell r="D4045">
            <v>0</v>
          </cell>
        </row>
        <row r="4046">
          <cell r="A4046" t="str">
            <v>9910183M</v>
          </cell>
          <cell r="B4046" t="str">
            <v>Unterlegscheibe M6, A2, ISO7089 Form A</v>
          </cell>
          <cell r="C4046">
            <v>0</v>
          </cell>
          <cell r="D4046">
            <v>0.01</v>
          </cell>
        </row>
        <row r="4047">
          <cell r="A4047" t="str">
            <v>9910184M</v>
          </cell>
          <cell r="B4047" t="str">
            <v>Sechskantmutter M4, A2, DIN934</v>
          </cell>
          <cell r="C4047">
            <v>0</v>
          </cell>
          <cell r="D4047">
            <v>0.01</v>
          </cell>
        </row>
        <row r="4048">
          <cell r="A4048" t="str">
            <v>9910185M</v>
          </cell>
          <cell r="B4048" t="str">
            <v>Sechskantmutter M6, A2, DIN934</v>
          </cell>
          <cell r="C4048">
            <v>0</v>
          </cell>
          <cell r="D4048">
            <v>0.01</v>
          </cell>
        </row>
        <row r="4049">
          <cell r="A4049" t="str">
            <v>9910186M</v>
          </cell>
          <cell r="B4049" t="str">
            <v>Sechskantmutter M2,3, A2, DIN934</v>
          </cell>
          <cell r="C4049">
            <v>0</v>
          </cell>
          <cell r="D4049">
            <v>0.01</v>
          </cell>
        </row>
        <row r="4050">
          <cell r="A4050" t="str">
            <v>9910187M</v>
          </cell>
          <cell r="B4050" t="str">
            <v>Zylinderschraube ISK M6x12mm, A2 DIN 912</v>
          </cell>
          <cell r="C4050">
            <v>0</v>
          </cell>
          <cell r="D4050">
            <v>0.03</v>
          </cell>
        </row>
        <row r="4051">
          <cell r="A4051" t="str">
            <v>9910188M</v>
          </cell>
          <cell r="B4051" t="str">
            <v>Flachkopfschraube Schlitz M2,3x10mm, A2</v>
          </cell>
          <cell r="C4051">
            <v>0</v>
          </cell>
          <cell r="D4051">
            <v>0.05</v>
          </cell>
        </row>
        <row r="4052">
          <cell r="A4052" t="str">
            <v>9910189M</v>
          </cell>
          <cell r="B4052" t="str">
            <v>SERIALNUMBER LABEL AMD CLINSCANNER</v>
          </cell>
          <cell r="C4052">
            <v>0</v>
          </cell>
          <cell r="D4052">
            <v>0</v>
          </cell>
        </row>
        <row r="4053">
          <cell r="A4053" t="str">
            <v>9910190M</v>
          </cell>
          <cell r="B4053" t="str">
            <v>RATING LABEL Distributed Medical AB</v>
          </cell>
          <cell r="C4053">
            <v>0</v>
          </cell>
          <cell r="D4053">
            <v>0</v>
          </cell>
        </row>
        <row r="4054">
          <cell r="A4054" t="str">
            <v>9910190M_B</v>
          </cell>
          <cell r="B4054" t="str">
            <v>RATING LABEL Distributed Medical</v>
          </cell>
          <cell r="C4054">
            <v>-10</v>
          </cell>
          <cell r="D4054">
            <v>0</v>
          </cell>
        </row>
        <row r="4055">
          <cell r="A4055" t="str">
            <v>9910191M</v>
          </cell>
          <cell r="B4055" t="str">
            <v>SERIAL NUMBER LABEL AIDA CON NEO 20046120-D</v>
          </cell>
          <cell r="C4055">
            <v>0</v>
          </cell>
          <cell r="D4055">
            <v>0</v>
          </cell>
        </row>
        <row r="4056">
          <cell r="A4056" t="str">
            <v>9910191M_A</v>
          </cell>
          <cell r="B4056" t="str">
            <v>Aufkleber Seriennummer AIDA Control NEO 20046120-D</v>
          </cell>
          <cell r="C4056">
            <v>-2747</v>
          </cell>
          <cell r="D4056">
            <v>0</v>
          </cell>
        </row>
        <row r="4057">
          <cell r="A4057" t="str">
            <v>9910192M</v>
          </cell>
          <cell r="B4057" t="str">
            <v>RATING LABEL AIDA CONTROL NEO 20046120-D</v>
          </cell>
          <cell r="C4057">
            <v>0</v>
          </cell>
          <cell r="D4057">
            <v>0</v>
          </cell>
        </row>
        <row r="4058">
          <cell r="A4058" t="str">
            <v>9910192M_A</v>
          </cell>
          <cell r="B4058" t="str">
            <v>Aufkleber Typenschild AIDA Control NEO 20046120-D</v>
          </cell>
          <cell r="C4058">
            <v>-4778</v>
          </cell>
          <cell r="D4058">
            <v>0</v>
          </cell>
        </row>
        <row r="4059">
          <cell r="A4059" t="str">
            <v>9910192M_B</v>
          </cell>
          <cell r="B4059" t="str">
            <v>Aufkleber Typenschild AIDA Control NEO 20046120-D</v>
          </cell>
          <cell r="C4059">
            <v>-716</v>
          </cell>
          <cell r="D4059">
            <v>0</v>
          </cell>
        </row>
        <row r="4060">
          <cell r="A4060" t="str">
            <v>9910193M</v>
          </cell>
          <cell r="B4060" t="str">
            <v>Schrauben UNC6/32 0.38"</v>
          </cell>
          <cell r="C4060">
            <v>0</v>
          </cell>
          <cell r="D4060">
            <v>0</v>
          </cell>
        </row>
        <row r="4061">
          <cell r="A4061" t="str">
            <v>9910194M</v>
          </cell>
          <cell r="B4061" t="str">
            <v>CASING BOTTOM AIDA HD CONNECT 40CM</v>
          </cell>
          <cell r="C4061">
            <v>0</v>
          </cell>
          <cell r="D4061">
            <v>0</v>
          </cell>
        </row>
        <row r="4062">
          <cell r="A4062" t="str">
            <v>9910195M</v>
          </cell>
          <cell r="B4062" t="str">
            <v>Frontplatte KS AIDA control mit Einschubstreifen</v>
          </cell>
          <cell r="C4062">
            <v>0</v>
          </cell>
          <cell r="D4062">
            <v>69.5</v>
          </cell>
        </row>
        <row r="4063">
          <cell r="A4063" t="str">
            <v>9910196M</v>
          </cell>
          <cell r="B4063" t="str">
            <v>KARL STORZ Gehäusehaube AIDA NEO</v>
          </cell>
          <cell r="C4063">
            <v>7</v>
          </cell>
          <cell r="D4063">
            <v>55</v>
          </cell>
        </row>
        <row r="4064">
          <cell r="A4064" t="str">
            <v>9910197M</v>
          </cell>
          <cell r="B4064" t="str">
            <v>Frontplatte mit Laufwerk</v>
          </cell>
          <cell r="C4064">
            <v>0</v>
          </cell>
          <cell r="D4064">
            <v>0</v>
          </cell>
        </row>
        <row r="4065">
          <cell r="A4065" t="str">
            <v>9910198M</v>
          </cell>
          <cell r="B4065" t="str">
            <v>RATING LABEL KS AHDC DC WITH SMARTSCREEN (DVD)</v>
          </cell>
          <cell r="C4065">
            <v>0</v>
          </cell>
          <cell r="D4065">
            <v>0</v>
          </cell>
        </row>
        <row r="4066">
          <cell r="A4066" t="str">
            <v>9910198M_A</v>
          </cell>
          <cell r="B4066" t="str">
            <v>Aufkleber Typenschild 20205701-140</v>
          </cell>
          <cell r="C4066">
            <v>0</v>
          </cell>
          <cell r="D4066">
            <v>0</v>
          </cell>
        </row>
        <row r="4067">
          <cell r="A4067" t="str">
            <v>9910198M_B</v>
          </cell>
          <cell r="B4067" t="str">
            <v>Aufkleber Typenschild 20205701-140</v>
          </cell>
          <cell r="C4067">
            <v>0</v>
          </cell>
          <cell r="D4067">
            <v>0</v>
          </cell>
        </row>
        <row r="4068">
          <cell r="A4068" t="str">
            <v>9910199M</v>
          </cell>
          <cell r="B4068" t="str">
            <v>RATING LABEL KS AHDC DC WITHOUT SMARTSCREEN (DVD)</v>
          </cell>
          <cell r="C4068">
            <v>0</v>
          </cell>
          <cell r="D4068">
            <v>0</v>
          </cell>
        </row>
        <row r="4069">
          <cell r="A4069" t="str">
            <v>9910199M_A</v>
          </cell>
          <cell r="B4069" t="str">
            <v>Aufkleber Typenschild 20205702-1</v>
          </cell>
          <cell r="C4069">
            <v>-1</v>
          </cell>
          <cell r="D4069">
            <v>0</v>
          </cell>
        </row>
        <row r="4070">
          <cell r="A4070" t="str">
            <v>9910199M_B</v>
          </cell>
          <cell r="B4070" t="str">
            <v>Aufkleber Typenschild 20205702-1</v>
          </cell>
          <cell r="C4070">
            <v>0</v>
          </cell>
          <cell r="D4070">
            <v>0</v>
          </cell>
        </row>
        <row r="4071">
          <cell r="A4071" t="str">
            <v>9910200M</v>
          </cell>
          <cell r="B4071" t="str">
            <v>SHIPPING LABEL KS AHDC DC WITH SMARTSCREEN (DVD)</v>
          </cell>
          <cell r="C4071">
            <v>0</v>
          </cell>
          <cell r="D4071">
            <v>0</v>
          </cell>
        </row>
        <row r="4072">
          <cell r="A4072" t="str">
            <v>9910200M_C</v>
          </cell>
          <cell r="B4072" t="str">
            <v>Aufkleber Shipping 20205701-140</v>
          </cell>
          <cell r="C4072">
            <v>0</v>
          </cell>
          <cell r="D4072">
            <v>0</v>
          </cell>
        </row>
        <row r="4073">
          <cell r="A4073" t="str">
            <v>9910201M</v>
          </cell>
          <cell r="B4073" t="str">
            <v>SHIPPING LABEL KS AHDC DC W/O SMARTSCREEN (DVD)</v>
          </cell>
          <cell r="C4073">
            <v>0</v>
          </cell>
          <cell r="D4073">
            <v>0</v>
          </cell>
        </row>
        <row r="4074">
          <cell r="A4074" t="str">
            <v>9910201M_B</v>
          </cell>
          <cell r="B4074" t="str">
            <v>Aufkleber Shipping 20205702-1</v>
          </cell>
          <cell r="C4074">
            <v>-2</v>
          </cell>
          <cell r="D4074">
            <v>0</v>
          </cell>
        </row>
        <row r="4075">
          <cell r="A4075" t="str">
            <v>9910202M</v>
          </cell>
          <cell r="B4075" t="str">
            <v>NVS Label Smartscreen</v>
          </cell>
          <cell r="C4075">
            <v>0</v>
          </cell>
          <cell r="D4075">
            <v>2.25</v>
          </cell>
        </row>
        <row r="4076">
          <cell r="A4076" t="str">
            <v>9910203M</v>
          </cell>
          <cell r="B4076" t="str">
            <v>VGA Adapter DVI-I =&gt; VGA UL Certified</v>
          </cell>
          <cell r="C4076">
            <v>0</v>
          </cell>
          <cell r="D4076">
            <v>1.07</v>
          </cell>
        </row>
        <row r="4077">
          <cell r="A4077" t="str">
            <v>9910204M</v>
          </cell>
          <cell r="B4077" t="str">
            <v>Cabinet Storz AIDA HD Connect Dual Channel Proto</v>
          </cell>
          <cell r="C4077">
            <v>0</v>
          </cell>
          <cell r="D4077">
            <v>311</v>
          </cell>
        </row>
        <row r="4078">
          <cell r="A4078" t="str">
            <v>9910205M</v>
          </cell>
          <cell r="B4078" t="str">
            <v>Fan Bracket Dual Channel Proto</v>
          </cell>
          <cell r="C4078">
            <v>0</v>
          </cell>
          <cell r="D4078">
            <v>36</v>
          </cell>
        </row>
        <row r="4079">
          <cell r="A4079" t="str">
            <v>9910206M</v>
          </cell>
          <cell r="B4079" t="str">
            <v>Lizenz Sonic</v>
          </cell>
          <cell r="C4079">
            <v>655</v>
          </cell>
          <cell r="D4079">
            <v>77.81</v>
          </cell>
        </row>
        <row r="4080">
          <cell r="A4080" t="str">
            <v>9910207M</v>
          </cell>
          <cell r="B4080" t="str">
            <v>CASING BOTTOM AIDA HD CONNECT 40CM</v>
          </cell>
          <cell r="C4080">
            <v>0</v>
          </cell>
          <cell r="D4080">
            <v>0</v>
          </cell>
        </row>
        <row r="4081">
          <cell r="A4081" t="str">
            <v>9910208M</v>
          </cell>
          <cell r="B4081" t="str">
            <v>Software Phase 2 Upgrade Kit</v>
          </cell>
          <cell r="C4081">
            <v>0</v>
          </cell>
          <cell r="D4081">
            <v>70</v>
          </cell>
        </row>
        <row r="4082">
          <cell r="A4082" t="str">
            <v>9910209M</v>
          </cell>
          <cell r="B4082" t="str">
            <v>Deckleiste Gr. 1</v>
          </cell>
          <cell r="C4082">
            <v>9</v>
          </cell>
          <cell r="D4082">
            <v>1.9</v>
          </cell>
        </row>
        <row r="4083">
          <cell r="A4083" t="str">
            <v>9910210M</v>
          </cell>
          <cell r="B4083" t="str">
            <v>RATING LABEL KARL STORZ SMARTSCREEN</v>
          </cell>
          <cell r="C4083">
            <v>0</v>
          </cell>
          <cell r="D4083">
            <v>0</v>
          </cell>
        </row>
        <row r="4084">
          <cell r="A4084" t="str">
            <v>9910210M_B</v>
          </cell>
          <cell r="B4084" t="str">
            <v>Aufkleber Systemlabel KS SmartScreen</v>
          </cell>
          <cell r="C4084">
            <v>0</v>
          </cell>
          <cell r="D4084">
            <v>0</v>
          </cell>
        </row>
        <row r="4085">
          <cell r="A4085" t="str">
            <v>9910210M_C</v>
          </cell>
          <cell r="B4085" t="str">
            <v>Aufkleber Systemlabel KS SmartScreen</v>
          </cell>
          <cell r="C4085">
            <v>-260</v>
          </cell>
          <cell r="D4085">
            <v>0</v>
          </cell>
        </row>
        <row r="4086">
          <cell r="A4086" t="str">
            <v>9910211M</v>
          </cell>
          <cell r="B4086" t="str">
            <v>SERIAL NUMBER LABEL KARL STORZ SMARTSCREEN</v>
          </cell>
          <cell r="C4086">
            <v>0</v>
          </cell>
          <cell r="D4086">
            <v>0</v>
          </cell>
        </row>
        <row r="4087">
          <cell r="A4087" t="str">
            <v>9910211M_B</v>
          </cell>
          <cell r="B4087" t="str">
            <v>Aufkleber Seriennummer KS SmartScreen</v>
          </cell>
          <cell r="C4087">
            <v>-60</v>
          </cell>
          <cell r="D4087">
            <v>0</v>
          </cell>
        </row>
        <row r="4088">
          <cell r="A4088" t="str">
            <v>9910212M</v>
          </cell>
          <cell r="B4088" t="str">
            <v>HOSPITAL USE LABEL KSI</v>
          </cell>
          <cell r="C4088">
            <v>0</v>
          </cell>
          <cell r="D4088">
            <v>0</v>
          </cell>
        </row>
        <row r="4089">
          <cell r="A4089" t="str">
            <v>9910212M_B</v>
          </cell>
          <cell r="B4089" t="str">
            <v>Aufkleber Hospital Use</v>
          </cell>
          <cell r="C4089">
            <v>-2203</v>
          </cell>
          <cell r="D4089">
            <v>0</v>
          </cell>
        </row>
        <row r="4090">
          <cell r="A4090" t="str">
            <v>9910213M</v>
          </cell>
          <cell r="B4090" t="str">
            <v>RATING LABEL AESCU.certus² USV/DESKTOP</v>
          </cell>
          <cell r="C4090">
            <v>0</v>
          </cell>
          <cell r="D4090">
            <v>0</v>
          </cell>
        </row>
        <row r="4091">
          <cell r="A4091" t="str">
            <v>9910214M</v>
          </cell>
          <cell r="B4091" t="str">
            <v>RATING LABEL AESCU.certus DESKTOP-VERSION</v>
          </cell>
          <cell r="C4091">
            <v>0</v>
          </cell>
          <cell r="D4091">
            <v>0</v>
          </cell>
        </row>
        <row r="4092">
          <cell r="A4092" t="str">
            <v>9910215M</v>
          </cell>
          <cell r="B4092" t="str">
            <v>RATING LABEL AESCU.certus WAND-VERSION</v>
          </cell>
          <cell r="C4092">
            <v>0</v>
          </cell>
          <cell r="D4092">
            <v>0</v>
          </cell>
        </row>
        <row r="4093">
          <cell r="A4093" t="str">
            <v>9910216M</v>
          </cell>
          <cell r="B4093" t="str">
            <v>RATING LABEL AESCU.certus² DESKTOP-version</v>
          </cell>
          <cell r="C4093">
            <v>0</v>
          </cell>
          <cell r="D4093">
            <v>0</v>
          </cell>
        </row>
        <row r="4094">
          <cell r="A4094" t="str">
            <v>9910217M</v>
          </cell>
          <cell r="B4094" t="str">
            <v>RATING LABEL AESCU.CERTUS² WAND-VERSION</v>
          </cell>
          <cell r="C4094">
            <v>0</v>
          </cell>
          <cell r="D4094">
            <v>0</v>
          </cell>
        </row>
        <row r="4095">
          <cell r="A4095" t="str">
            <v>9910218M</v>
          </cell>
          <cell r="B4095" t="str">
            <v>RATING LABEL AESCU.CERTUS² USV/WAND-VERSION</v>
          </cell>
          <cell r="C4095">
            <v>0</v>
          </cell>
          <cell r="D4095">
            <v>0</v>
          </cell>
        </row>
        <row r="4096">
          <cell r="A4096" t="str">
            <v>9910219M</v>
          </cell>
          <cell r="B4096" t="str">
            <v>RATING LABEL PANA.CEIA</v>
          </cell>
          <cell r="C4096">
            <v>0</v>
          </cell>
          <cell r="D4096">
            <v>0</v>
          </cell>
        </row>
        <row r="4097">
          <cell r="A4097" t="str">
            <v>9910220M</v>
          </cell>
          <cell r="B4097" t="str">
            <v>RATING LABEL VEIO.VIS</v>
          </cell>
          <cell r="C4097">
            <v>0</v>
          </cell>
          <cell r="D4097">
            <v>0</v>
          </cell>
        </row>
        <row r="4098">
          <cell r="A4098" t="str">
            <v>9910221M</v>
          </cell>
          <cell r="B4098" t="str">
            <v>RATING LABEL THA.LEIA 19" PCI</v>
          </cell>
          <cell r="C4098">
            <v>0</v>
          </cell>
          <cell r="D4098">
            <v>0</v>
          </cell>
        </row>
        <row r="4099">
          <cell r="A4099" t="str">
            <v>9910222M</v>
          </cell>
          <cell r="B4099" t="str">
            <v>RATING LABEL THA.LEIA 19" PCI/TOUCH</v>
          </cell>
          <cell r="C4099">
            <v>0</v>
          </cell>
          <cell r="D4099">
            <v>0</v>
          </cell>
        </row>
        <row r="4100">
          <cell r="A4100" t="str">
            <v>9910223M</v>
          </cell>
          <cell r="B4100" t="str">
            <v>System Label Cart HistoScanning 2</v>
          </cell>
          <cell r="C4100">
            <v>0</v>
          </cell>
          <cell r="D4100">
            <v>0</v>
          </cell>
        </row>
        <row r="4101">
          <cell r="A4101" t="str">
            <v>9910223M_B</v>
          </cell>
          <cell r="B4101" t="str">
            <v>System Label Cart HistoScanning 2</v>
          </cell>
          <cell r="C4101">
            <v>-1</v>
          </cell>
          <cell r="D4101">
            <v>0</v>
          </cell>
        </row>
        <row r="4102">
          <cell r="A4102" t="str">
            <v>9910223M_C</v>
          </cell>
          <cell r="B4102" t="str">
            <v>System Label Cart HistoScanning 2</v>
          </cell>
          <cell r="C4102">
            <v>0</v>
          </cell>
          <cell r="D4102">
            <v>0</v>
          </cell>
        </row>
        <row r="4103">
          <cell r="A4103" t="str">
            <v>9910223M_D</v>
          </cell>
          <cell r="B4103" t="str">
            <v>System Label Cart HistoScanning 2</v>
          </cell>
          <cell r="C4103">
            <v>-6</v>
          </cell>
          <cell r="D4103">
            <v>0</v>
          </cell>
        </row>
        <row r="4104">
          <cell r="A4104" t="str">
            <v>9910224M</v>
          </cell>
          <cell r="B4104" t="str">
            <v>System Label  HistoScanning 2</v>
          </cell>
          <cell r="C4104">
            <v>0</v>
          </cell>
          <cell r="D4104">
            <v>0</v>
          </cell>
        </row>
        <row r="4105">
          <cell r="A4105" t="str">
            <v>9910224M_B</v>
          </cell>
          <cell r="B4105" t="str">
            <v>System Label  HistoScanning 2</v>
          </cell>
          <cell r="C4105">
            <v>-15</v>
          </cell>
          <cell r="D4105">
            <v>0</v>
          </cell>
        </row>
        <row r="4106">
          <cell r="A4106" t="str">
            <v>9910224M_C</v>
          </cell>
          <cell r="B4106" t="str">
            <v>System Label  HistoScanning 2</v>
          </cell>
          <cell r="C4106">
            <v>-7</v>
          </cell>
          <cell r="D4106">
            <v>0</v>
          </cell>
        </row>
        <row r="4107">
          <cell r="A4107" t="str">
            <v>9910224M_D</v>
          </cell>
          <cell r="B4107" t="str">
            <v>System Label  HistoScanning 2</v>
          </cell>
          <cell r="C4107">
            <v>-26</v>
          </cell>
          <cell r="D4107">
            <v>0</v>
          </cell>
        </row>
        <row r="4108">
          <cell r="A4108" t="str">
            <v>9910225M</v>
          </cell>
          <cell r="B4108" t="str">
            <v>SERIAL NUMBER LABEL AIDA FUSION</v>
          </cell>
          <cell r="C4108">
            <v>0</v>
          </cell>
          <cell r="D4108">
            <v>0</v>
          </cell>
        </row>
        <row r="4109">
          <cell r="A4109" t="str">
            <v>9910225M_A</v>
          </cell>
          <cell r="B4109" t="str">
            <v>AUFKLEBER SERIENNUMMER OR1 FUSION control</v>
          </cell>
          <cell r="C4109">
            <v>-147</v>
          </cell>
          <cell r="D4109">
            <v>0</v>
          </cell>
        </row>
        <row r="4110">
          <cell r="A4110" t="str">
            <v>9910226M</v>
          </cell>
          <cell r="B4110" t="str">
            <v>RATING LABEL AIDA FUSION</v>
          </cell>
          <cell r="C4110">
            <v>0</v>
          </cell>
          <cell r="D4110">
            <v>0</v>
          </cell>
        </row>
        <row r="4111">
          <cell r="A4111" t="str">
            <v>9910226M_A</v>
          </cell>
          <cell r="B4111" t="str">
            <v>Aufkleber Typenschild OR1 FUSION control</v>
          </cell>
          <cell r="C4111">
            <v>-51</v>
          </cell>
          <cell r="D4111">
            <v>0</v>
          </cell>
        </row>
        <row r="4112">
          <cell r="A4112" t="str">
            <v>9910226M_B</v>
          </cell>
          <cell r="B4112" t="str">
            <v>Aufkleber Typenschild OR1 FUSION control</v>
          </cell>
          <cell r="C4112">
            <v>-95</v>
          </cell>
          <cell r="D4112">
            <v>0</v>
          </cell>
        </row>
        <row r="4113">
          <cell r="A4113" t="str">
            <v>9910227M_A</v>
          </cell>
          <cell r="B4113" t="str">
            <v>Aufkleber Typenschild 20205501-140</v>
          </cell>
          <cell r="C4113">
            <v>-9</v>
          </cell>
          <cell r="D4113">
            <v>0</v>
          </cell>
        </row>
        <row r="4114">
          <cell r="A4114" t="str">
            <v>9910228M_A</v>
          </cell>
          <cell r="B4114" t="str">
            <v>Aufkleber Shipping 20205501-140</v>
          </cell>
          <cell r="C4114">
            <v>-18</v>
          </cell>
          <cell r="D4114">
            <v>0</v>
          </cell>
        </row>
        <row r="4115">
          <cell r="A4115" t="str">
            <v>9910229M</v>
          </cell>
          <cell r="B4115" t="str">
            <v>Gehäuse AC1+2 Deckelfolie E&amp;L</v>
          </cell>
          <cell r="C4115">
            <v>0</v>
          </cell>
          <cell r="D4115">
            <v>0</v>
          </cell>
        </row>
        <row r="4116">
          <cell r="A4116" t="str">
            <v>9910230M</v>
          </cell>
          <cell r="B4116" t="str">
            <v>Lizenz DICOM</v>
          </cell>
          <cell r="C4116">
            <v>58</v>
          </cell>
          <cell r="D4116">
            <v>73.760000000000005</v>
          </cell>
        </row>
        <row r="4117">
          <cell r="A4117" t="str">
            <v>9910231M</v>
          </cell>
          <cell r="B4117" t="str">
            <v>RATING LABEL AIDA FUSION KSIS</v>
          </cell>
          <cell r="C4117">
            <v>0</v>
          </cell>
          <cell r="D4117">
            <v>0</v>
          </cell>
        </row>
        <row r="4118">
          <cell r="A4118" t="str">
            <v>9910232M</v>
          </cell>
          <cell r="B4118" t="str">
            <v>SHIPPING LABEL AIDA FUSION KSIS</v>
          </cell>
          <cell r="C4118">
            <v>0</v>
          </cell>
          <cell r="D4118">
            <v>0</v>
          </cell>
        </row>
        <row r="4119">
          <cell r="A4119" t="str">
            <v>9910232M_A</v>
          </cell>
          <cell r="B4119" t="str">
            <v>AUFKLEBER SHIPPING OR1 FUSION control</v>
          </cell>
          <cell r="C4119">
            <v>-99</v>
          </cell>
          <cell r="D4119">
            <v>0</v>
          </cell>
        </row>
        <row r="4120">
          <cell r="A4120" t="str">
            <v>9910232M_B</v>
          </cell>
          <cell r="B4120" t="str">
            <v>AUFKLEBER SHIPPING OR1 FUSION control</v>
          </cell>
          <cell r="C4120">
            <v>-190</v>
          </cell>
          <cell r="D4120">
            <v>0</v>
          </cell>
        </row>
        <row r="4121">
          <cell r="A4121" t="str">
            <v>9910233M</v>
          </cell>
          <cell r="B4121" t="str">
            <v>Aufkleber Shipping 20205501-140</v>
          </cell>
          <cell r="C4121">
            <v>0</v>
          </cell>
          <cell r="D4121">
            <v>0</v>
          </cell>
        </row>
        <row r="4122">
          <cell r="A4122" t="str">
            <v>9910233M_A</v>
          </cell>
          <cell r="B4122" t="str">
            <v>AUFKLEBER DISPLAY POWER 12V AMD</v>
          </cell>
          <cell r="C4122">
            <v>-8</v>
          </cell>
          <cell r="D4122">
            <v>0</v>
          </cell>
        </row>
        <row r="4123">
          <cell r="A4123" t="str">
            <v>9910234M</v>
          </cell>
          <cell r="B4123" t="str">
            <v>AUFKLEBER 50x15mm blank AMD</v>
          </cell>
          <cell r="C4123">
            <v>-8</v>
          </cell>
          <cell r="D4123">
            <v>0</v>
          </cell>
        </row>
        <row r="4124">
          <cell r="A4124" t="str">
            <v>9910235M</v>
          </cell>
          <cell r="B4124" t="str">
            <v>Aufkleber Shipping DIACAP mit SS</v>
          </cell>
          <cell r="C4124">
            <v>0</v>
          </cell>
          <cell r="D4124">
            <v>0</v>
          </cell>
        </row>
        <row r="4125">
          <cell r="A4125" t="str">
            <v>9910235M_A</v>
          </cell>
          <cell r="B4125" t="str">
            <v>Aufkleber Shipping DIACAP mit SS</v>
          </cell>
          <cell r="C4125">
            <v>-84</v>
          </cell>
          <cell r="D4125">
            <v>0</v>
          </cell>
        </row>
        <row r="4126">
          <cell r="A4126" t="str">
            <v>9910236M</v>
          </cell>
          <cell r="B4126" t="str">
            <v>Aufkleber Rating DIACAP mit SS</v>
          </cell>
          <cell r="C4126">
            <v>0</v>
          </cell>
          <cell r="D4126">
            <v>0</v>
          </cell>
        </row>
        <row r="4127">
          <cell r="A4127" t="str">
            <v>9910236M_A</v>
          </cell>
          <cell r="B4127" t="str">
            <v>Aufkleber Rating DIACAP mit SS</v>
          </cell>
          <cell r="C4127">
            <v>-2</v>
          </cell>
          <cell r="D4127">
            <v>0</v>
          </cell>
        </row>
        <row r="4128">
          <cell r="A4128" t="str">
            <v>9910236M_B</v>
          </cell>
          <cell r="B4128" t="str">
            <v>Aufkleber Rating DIACAP mit SS</v>
          </cell>
          <cell r="C4128">
            <v>-40</v>
          </cell>
          <cell r="D4128">
            <v>0</v>
          </cell>
        </row>
        <row r="4129">
          <cell r="A4129" t="str">
            <v>9910237M</v>
          </cell>
          <cell r="B4129" t="str">
            <v>Aufkleber Shipping DIACAP ohne SS</v>
          </cell>
          <cell r="C4129">
            <v>0</v>
          </cell>
          <cell r="D4129">
            <v>0</v>
          </cell>
        </row>
        <row r="4130">
          <cell r="A4130" t="str">
            <v>9910237M_A</v>
          </cell>
          <cell r="B4130" t="str">
            <v>Aufkleber Shipping DIACAP ohne SS</v>
          </cell>
          <cell r="C4130">
            <v>0</v>
          </cell>
          <cell r="D4130">
            <v>0</v>
          </cell>
        </row>
        <row r="4131">
          <cell r="A4131" t="str">
            <v>9910238M</v>
          </cell>
          <cell r="B4131" t="str">
            <v>Aufkleber Rating DIACAP ohne SS</v>
          </cell>
          <cell r="C4131">
            <v>0</v>
          </cell>
          <cell r="D4131">
            <v>0</v>
          </cell>
        </row>
        <row r="4132">
          <cell r="A4132" t="str">
            <v>9910238M_A</v>
          </cell>
          <cell r="B4132" t="str">
            <v>Aufkleber Rating DIACAP ohne SS</v>
          </cell>
          <cell r="C4132">
            <v>0</v>
          </cell>
          <cell r="D4132">
            <v>0</v>
          </cell>
        </row>
        <row r="4133">
          <cell r="A4133" t="str">
            <v>9910239M</v>
          </cell>
          <cell r="B4133" t="str">
            <v>AUFKLEBER 75x50mm AMD Verpackung</v>
          </cell>
          <cell r="C4133">
            <v>0</v>
          </cell>
          <cell r="D4133">
            <v>0</v>
          </cell>
        </row>
        <row r="4134">
          <cell r="A4134" t="str">
            <v>9910239M_A</v>
          </cell>
          <cell r="B4134" t="str">
            <v>AUFKLEBER 75x50mm AMD Verpackung</v>
          </cell>
          <cell r="C4134">
            <v>-23</v>
          </cell>
          <cell r="D4134">
            <v>0</v>
          </cell>
        </row>
        <row r="4135">
          <cell r="A4135" t="str">
            <v>9910240M_A</v>
          </cell>
          <cell r="B4135" t="str">
            <v>Aufkleber SmartScreen Upgrade Kit</v>
          </cell>
          <cell r="C4135">
            <v>0</v>
          </cell>
          <cell r="D4135">
            <v>0</v>
          </cell>
        </row>
        <row r="4136">
          <cell r="A4136" t="str">
            <v>9910241M</v>
          </cell>
          <cell r="B4136" t="str">
            <v>Frontplatte KS AIDA control mit Einschubstreifen</v>
          </cell>
          <cell r="C4136">
            <v>0</v>
          </cell>
          <cell r="D4136">
            <v>69.5</v>
          </cell>
        </row>
        <row r="4137">
          <cell r="A4137" t="str">
            <v>9910242M</v>
          </cell>
          <cell r="B4137" t="str">
            <v>Konformitätserklärung</v>
          </cell>
          <cell r="C4137">
            <v>0</v>
          </cell>
          <cell r="D4137">
            <v>0</v>
          </cell>
        </row>
        <row r="4138">
          <cell r="A4138" t="str">
            <v>9910243M</v>
          </cell>
          <cell r="B4138" t="str">
            <v>Tape, Kupfer, 25mmx33m</v>
          </cell>
          <cell r="C4138">
            <v>4</v>
          </cell>
          <cell r="D4138">
            <v>66.81</v>
          </cell>
        </row>
        <row r="4139">
          <cell r="A4139" t="str">
            <v>9910244M</v>
          </cell>
          <cell r="B4139" t="str">
            <v>Konformitätserklärung</v>
          </cell>
          <cell r="C4139">
            <v>-17</v>
          </cell>
          <cell r="D4139">
            <v>0</v>
          </cell>
        </row>
        <row r="4140">
          <cell r="A4140" t="str">
            <v>9910245M</v>
          </cell>
          <cell r="B4140" t="str">
            <v>Konformitätserklärung</v>
          </cell>
          <cell r="C4140">
            <v>-20</v>
          </cell>
          <cell r="D4140">
            <v>0</v>
          </cell>
        </row>
        <row r="4141">
          <cell r="A4141" t="str">
            <v>9910246M</v>
          </cell>
          <cell r="B4141" t="str">
            <v>Konformitätserklärung MKT V1.09</v>
          </cell>
          <cell r="C4141">
            <v>-12</v>
          </cell>
          <cell r="D4141">
            <v>0</v>
          </cell>
        </row>
        <row r="4142">
          <cell r="A4142" t="str">
            <v>9910247M</v>
          </cell>
          <cell r="B4142" t="str">
            <v>Gehäuse Karl Storz AIDA Neo</v>
          </cell>
          <cell r="C4142">
            <v>0</v>
          </cell>
          <cell r="D4142">
            <v>270</v>
          </cell>
        </row>
        <row r="4143">
          <cell r="A4143" t="str">
            <v>9910248M</v>
          </cell>
          <cell r="B4143" t="str">
            <v>Konformitätserklärung MKT V1.10</v>
          </cell>
          <cell r="C4143">
            <v>-28</v>
          </cell>
          <cell r="D4143">
            <v>0</v>
          </cell>
        </row>
        <row r="4144">
          <cell r="A4144" t="str">
            <v>9950001M</v>
          </cell>
          <cell r="B4144" t="str">
            <v>MCD Medical Line PANA.ceia</v>
          </cell>
          <cell r="C4144">
            <v>0</v>
          </cell>
          <cell r="D4144">
            <v>771</v>
          </cell>
        </row>
        <row r="4145">
          <cell r="A4145" t="str">
            <v>9950002M</v>
          </cell>
          <cell r="B4145" t="str">
            <v>MCD Medical Line PANA.ceia</v>
          </cell>
          <cell r="C4145">
            <v>0</v>
          </cell>
          <cell r="D4145">
            <v>1636</v>
          </cell>
        </row>
        <row r="4146">
          <cell r="A4146" t="str">
            <v>9950003M</v>
          </cell>
          <cell r="B4146" t="str">
            <v>MCD Medical Line AESCU.certus</v>
          </cell>
          <cell r="C4146">
            <v>0</v>
          </cell>
          <cell r="D4146">
            <v>1185</v>
          </cell>
        </row>
        <row r="4147">
          <cell r="A4147" t="str">
            <v>9950004M</v>
          </cell>
          <cell r="B4147" t="str">
            <v>MCD Medical Line AESCU.certus</v>
          </cell>
          <cell r="C4147">
            <v>0</v>
          </cell>
          <cell r="D4147">
            <v>750</v>
          </cell>
        </row>
        <row r="4148">
          <cell r="A4148" t="str">
            <v>9950005M</v>
          </cell>
          <cell r="B4148" t="str">
            <v>MCD Medical Line AESCU.certus</v>
          </cell>
          <cell r="C4148">
            <v>0</v>
          </cell>
          <cell r="D4148">
            <v>750</v>
          </cell>
        </row>
        <row r="4149">
          <cell r="A4149" t="str">
            <v>9950006M</v>
          </cell>
          <cell r="B4149" t="str">
            <v>MCD Medical Line AESCU.certus</v>
          </cell>
          <cell r="C4149">
            <v>0</v>
          </cell>
          <cell r="D4149">
            <v>1050</v>
          </cell>
        </row>
        <row r="4150">
          <cell r="A4150" t="str">
            <v>9950007M</v>
          </cell>
          <cell r="B4150" t="str">
            <v>MCD Medical Line PANA.ceia</v>
          </cell>
          <cell r="C4150">
            <v>0</v>
          </cell>
          <cell r="D4150">
            <v>930</v>
          </cell>
        </row>
        <row r="4151">
          <cell r="A4151" t="str">
            <v>9950008M</v>
          </cell>
          <cell r="B4151" t="str">
            <v>MCD Medical Line AESCU.certus</v>
          </cell>
          <cell r="C4151">
            <v>0</v>
          </cell>
          <cell r="D4151">
            <v>1165</v>
          </cell>
        </row>
        <row r="4152">
          <cell r="A4152" t="str">
            <v>9950009M</v>
          </cell>
          <cell r="B4152" t="str">
            <v>MCD Medical Line AESCU.certus</v>
          </cell>
          <cell r="C4152">
            <v>0</v>
          </cell>
          <cell r="D4152">
            <v>1118.6500000000001</v>
          </cell>
        </row>
        <row r="4153">
          <cell r="A4153" t="str">
            <v>9950010M</v>
          </cell>
          <cell r="B4153" t="str">
            <v>MCD Medical Line PANA.ceia</v>
          </cell>
          <cell r="C4153">
            <v>0</v>
          </cell>
          <cell r="D4153">
            <v>620</v>
          </cell>
        </row>
        <row r="4154">
          <cell r="A4154" t="str">
            <v>9950011M</v>
          </cell>
          <cell r="B4154" t="str">
            <v>MCD Medical Line AESCU.certus</v>
          </cell>
          <cell r="C4154">
            <v>0</v>
          </cell>
          <cell r="D4154">
            <v>1316.99</v>
          </cell>
        </row>
        <row r="4155">
          <cell r="A4155" t="str">
            <v>9950012M</v>
          </cell>
          <cell r="B4155" t="str">
            <v>Patiententerminal-Vorfühsystem-MCD</v>
          </cell>
          <cell r="C4155">
            <v>0</v>
          </cell>
          <cell r="D4155">
            <v>2340.4</v>
          </cell>
        </row>
        <row r="4156">
          <cell r="A4156" t="str">
            <v>9950013M</v>
          </cell>
          <cell r="B4156" t="str">
            <v>MCD Medical Line PANA.ceia</v>
          </cell>
          <cell r="C4156">
            <v>0</v>
          </cell>
          <cell r="D4156">
            <v>745</v>
          </cell>
        </row>
        <row r="4157">
          <cell r="A4157" t="str">
            <v>9950014M</v>
          </cell>
          <cell r="B4157" t="str">
            <v>MCD Medical Line PANA.ceia</v>
          </cell>
          <cell r="C4157">
            <v>0</v>
          </cell>
          <cell r="D4157">
            <v>870</v>
          </cell>
        </row>
        <row r="4158">
          <cell r="A4158" t="str">
            <v>9950015M</v>
          </cell>
          <cell r="B4158" t="str">
            <v>MCD Medical Line PANA.ceia_Intel_2009</v>
          </cell>
          <cell r="C4158">
            <v>0</v>
          </cell>
          <cell r="D4158">
            <v>575</v>
          </cell>
        </row>
        <row r="4159">
          <cell r="A4159" t="str">
            <v>9950016M</v>
          </cell>
          <cell r="B4159" t="str">
            <v>PANA.ceia_Schiller_Siemens MB_2009</v>
          </cell>
          <cell r="C4159">
            <v>0</v>
          </cell>
          <cell r="D4159">
            <v>655</v>
          </cell>
        </row>
        <row r="4160">
          <cell r="A4160" t="str">
            <v>9950017M</v>
          </cell>
          <cell r="B4160" t="str">
            <v>MPM_1000 Leihsystem</v>
          </cell>
          <cell r="C4160">
            <v>0</v>
          </cell>
          <cell r="D4160">
            <v>605</v>
          </cell>
        </row>
        <row r="4161">
          <cell r="A4161" t="str">
            <v>9950018M</v>
          </cell>
          <cell r="B4161" t="str">
            <v>MCD Medical Line AESCU.certus</v>
          </cell>
          <cell r="C4161">
            <v>0</v>
          </cell>
          <cell r="D4161">
            <v>1180</v>
          </cell>
        </row>
        <row r="4162">
          <cell r="A4162" t="str">
            <v>9950019M</v>
          </cell>
          <cell r="B4162" t="str">
            <v>MCD Medical Line PANA.ceia</v>
          </cell>
          <cell r="C4162">
            <v>0</v>
          </cell>
          <cell r="D4162">
            <v>678.51</v>
          </cell>
        </row>
        <row r="4163">
          <cell r="A4163" t="str">
            <v>9950020M</v>
          </cell>
          <cell r="B4163" t="str">
            <v>MCD Medical Line PANA.ceia_D-2831S_Sample</v>
          </cell>
          <cell r="C4163">
            <v>0</v>
          </cell>
          <cell r="D4163">
            <v>965</v>
          </cell>
        </row>
        <row r="4164">
          <cell r="A4164" t="str">
            <v>9950021M</v>
          </cell>
          <cell r="B4164" t="str">
            <v>VEIO.VIS Mustersystem</v>
          </cell>
          <cell r="C4164">
            <v>0</v>
          </cell>
          <cell r="D4164">
            <v>1400</v>
          </cell>
        </row>
        <row r="4165">
          <cell r="A4165" t="str">
            <v>9950022M</v>
          </cell>
          <cell r="B4165" t="str">
            <v>MCD Medical Line PANA.ceia Siemens</v>
          </cell>
          <cell r="C4165">
            <v>0</v>
          </cell>
          <cell r="D4165">
            <v>1977.78</v>
          </cell>
        </row>
        <row r="4166">
          <cell r="A4166" t="str">
            <v>9950023M</v>
          </cell>
          <cell r="B4166" t="str">
            <v>MCD Medical Line VEIO.vis_Intel_2010</v>
          </cell>
          <cell r="C4166">
            <v>0</v>
          </cell>
          <cell r="D4166">
            <v>514.42999999999995</v>
          </cell>
        </row>
        <row r="4167">
          <cell r="A4167" t="str">
            <v>9950024M</v>
          </cell>
          <cell r="B4167" t="str">
            <v>MCD Medical Line AESCU.certus</v>
          </cell>
          <cell r="C4167">
            <v>0</v>
          </cell>
          <cell r="D4167">
            <v>1136</v>
          </cell>
        </row>
        <row r="4168">
          <cell r="A4168" t="str">
            <v>9950025M</v>
          </cell>
          <cell r="B4168" t="str">
            <v>MCD Medical Line PANA.ceia Siemens</v>
          </cell>
          <cell r="C4168">
            <v>0</v>
          </cell>
          <cell r="D4168">
            <v>965</v>
          </cell>
        </row>
        <row r="4169">
          <cell r="A4169" t="str">
            <v>9950026M</v>
          </cell>
          <cell r="B4169" t="str">
            <v>VEIO.VIS Mustersystem</v>
          </cell>
          <cell r="C4169">
            <v>0</v>
          </cell>
          <cell r="D4169">
            <v>495</v>
          </cell>
        </row>
        <row r="4170">
          <cell r="A4170" t="str">
            <v>9950027M</v>
          </cell>
          <cell r="B4170" t="str">
            <v>MCD Medical Line VEIO.vis</v>
          </cell>
          <cell r="C4170">
            <v>0</v>
          </cell>
          <cell r="D4170">
            <v>500</v>
          </cell>
        </row>
        <row r="4171">
          <cell r="A4171" t="str">
            <v>9950028M</v>
          </cell>
          <cell r="B4171" t="str">
            <v>Sparesystem AESCU.certus T55/3GB/100/FX</v>
          </cell>
          <cell r="C4171">
            <v>1</v>
          </cell>
          <cell r="D4171">
            <v>750</v>
          </cell>
        </row>
        <row r="4172">
          <cell r="A4172" t="str">
            <v>9950029M</v>
          </cell>
          <cell r="B4172" t="str">
            <v>Sparesystem PANA.ceia Q9650/4GB/1.5TB</v>
          </cell>
          <cell r="C4172">
            <v>1</v>
          </cell>
          <cell r="D4172">
            <v>750</v>
          </cell>
        </row>
        <row r="4173">
          <cell r="A4173" t="str">
            <v>9950030M</v>
          </cell>
          <cell r="B4173" t="str">
            <v>MCD Medical Line AESCU.certus² Proto mit USV</v>
          </cell>
          <cell r="C4173">
            <v>0</v>
          </cell>
          <cell r="D4173">
            <v>1800</v>
          </cell>
        </row>
        <row r="4174">
          <cell r="A4174" t="str">
            <v>9950031M</v>
          </cell>
          <cell r="B4174" t="str">
            <v>MCD Medical Line AESCU.certus² Proto mit USV</v>
          </cell>
          <cell r="C4174">
            <v>0</v>
          </cell>
          <cell r="D4174">
            <v>0</v>
          </cell>
        </row>
        <row r="4175">
          <cell r="A4175" t="str">
            <v>9950032M</v>
          </cell>
          <cell r="B4175" t="str">
            <v>Slate Tablet F5v i5-1.33GHz VAD 128G 4GB</v>
          </cell>
          <cell r="C4175">
            <v>0</v>
          </cell>
          <cell r="D4175">
            <v>1806.15</v>
          </cell>
        </row>
        <row r="4176">
          <cell r="A4176" t="str">
            <v>9950033M</v>
          </cell>
          <cell r="B4176" t="str">
            <v>Paceblade Slimbook 240 A, Black</v>
          </cell>
          <cell r="C4176">
            <v>0</v>
          </cell>
          <cell r="D4176">
            <v>1195</v>
          </cell>
        </row>
        <row r="4177">
          <cell r="A4177" t="str">
            <v>9950034M</v>
          </cell>
          <cell r="B4177" t="str">
            <v>Paceblade Dockingstation f. Slimbook 240A</v>
          </cell>
          <cell r="C4177">
            <v>0</v>
          </cell>
          <cell r="D4177">
            <v>132</v>
          </cell>
        </row>
        <row r="4178">
          <cell r="A4178" t="str">
            <v>9950035M</v>
          </cell>
          <cell r="B4178" t="str">
            <v>MCD Medical Line THA.leia  19"</v>
          </cell>
          <cell r="C4178">
            <v>1</v>
          </cell>
          <cell r="D4178">
            <v>1000</v>
          </cell>
        </row>
        <row r="4179">
          <cell r="A4179" t="str">
            <v>9950036M</v>
          </cell>
          <cell r="B4179" t="str">
            <v>MCD Medical Line AESCU.certus² Stand non-USV</v>
          </cell>
          <cell r="C4179">
            <v>0</v>
          </cell>
          <cell r="D4179">
            <v>1397.67</v>
          </cell>
        </row>
        <row r="4180">
          <cell r="A4180" t="str">
            <v>9950037M</v>
          </cell>
          <cell r="B4180" t="str">
            <v>Sparesystem AESCU.certus T55/3GB/100</v>
          </cell>
          <cell r="C4180">
            <v>1</v>
          </cell>
          <cell r="D4180">
            <v>800</v>
          </cell>
        </row>
        <row r="4181">
          <cell r="A4181" t="str">
            <v>9950038M</v>
          </cell>
          <cell r="B4181" t="str">
            <v>THA.leia 19"</v>
          </cell>
          <cell r="C4181">
            <v>1</v>
          </cell>
          <cell r="D4181">
            <v>998.07</v>
          </cell>
        </row>
        <row r="4182">
          <cell r="A4182" t="str">
            <v>9950039M</v>
          </cell>
          <cell r="B4182" t="str">
            <v>MCD Medical Line PANA.ceia²</v>
          </cell>
          <cell r="C4182">
            <v>0</v>
          </cell>
          <cell r="D4182">
            <v>1050</v>
          </cell>
        </row>
        <row r="4183">
          <cell r="A4183" t="str">
            <v>9950040M</v>
          </cell>
          <cell r="B4183" t="str">
            <v>Topcon PANA.ceia²</v>
          </cell>
          <cell r="C4183">
            <v>0</v>
          </cell>
          <cell r="D4183">
            <v>910</v>
          </cell>
        </row>
        <row r="4184">
          <cell r="A4184" t="str">
            <v>9950041M</v>
          </cell>
          <cell r="B4184" t="str">
            <v>MCD Medical Line THA.leia 21.5" Panel PC</v>
          </cell>
          <cell r="C4184">
            <v>0</v>
          </cell>
          <cell r="D4184">
            <v>0</v>
          </cell>
        </row>
        <row r="4185">
          <cell r="A4185" t="str">
            <v>9950042M</v>
          </cell>
          <cell r="B4185" t="str">
            <v>AMD HistoScanning G3 Proto</v>
          </cell>
          <cell r="C4185">
            <v>0</v>
          </cell>
          <cell r="D4185">
            <v>1405</v>
          </cell>
        </row>
        <row r="4186">
          <cell r="A4186" t="str">
            <v>9950043M</v>
          </cell>
          <cell r="B4186" t="str">
            <v>MCD Medical Line AESCU.certus² Stand non-USV</v>
          </cell>
          <cell r="C4186">
            <v>0</v>
          </cell>
          <cell r="D4186">
            <v>1290</v>
          </cell>
        </row>
        <row r="4187">
          <cell r="A4187" t="str">
            <v>9950044M</v>
          </cell>
          <cell r="B4187" t="str">
            <v>Cellvizio Confocal Processor Prototype</v>
          </cell>
          <cell r="C4187">
            <v>1</v>
          </cell>
          <cell r="D4187">
            <v>959.01</v>
          </cell>
        </row>
        <row r="4188">
          <cell r="A4188" t="str">
            <v>9950045M</v>
          </cell>
          <cell r="B4188" t="str">
            <v>AIDA control NEO 200461 20 V3.1 Proto Kontron R15</v>
          </cell>
          <cell r="C4188">
            <v>0</v>
          </cell>
          <cell r="D4188">
            <v>1145.42</v>
          </cell>
        </row>
        <row r="4189">
          <cell r="A4189" t="str">
            <v>9950046M</v>
          </cell>
          <cell r="B4189" t="str">
            <v>KARL STORZ OR1 control NEO Proto Kontron R15</v>
          </cell>
          <cell r="C4189">
            <v>0</v>
          </cell>
          <cell r="D4189">
            <v>961.75</v>
          </cell>
        </row>
        <row r="4190">
          <cell r="A4190" t="str">
            <v>9960001M</v>
          </cell>
          <cell r="B4190" t="str">
            <v>Spare Kit AMD for HistoScanning WS 2.0</v>
          </cell>
          <cell r="C4190">
            <v>0</v>
          </cell>
          <cell r="D4190">
            <v>0</v>
          </cell>
        </row>
        <row r="4191">
          <cell r="A4191">
            <v>9990003</v>
          </cell>
          <cell r="B4191" t="str">
            <v>-&gt;&gt; (!) Ohne Diskettenlaufwerk</v>
          </cell>
          <cell r="C4191">
            <v>0</v>
          </cell>
          <cell r="D4191">
            <v>0</v>
          </cell>
        </row>
        <row r="4192">
          <cell r="A4192">
            <v>9990024</v>
          </cell>
          <cell r="B4192" t="str">
            <v>-&gt;&gt; MS WINDOWS XP PRO 32-Bit  Version installiert.</v>
          </cell>
          <cell r="C4192">
            <v>-2</v>
          </cell>
          <cell r="D4192">
            <v>0</v>
          </cell>
        </row>
        <row r="4193">
          <cell r="A4193">
            <v>9990112</v>
          </cell>
          <cell r="B4193" t="str">
            <v>=&gt; HDDs im Raid Level  0 - Verbund (Striping)</v>
          </cell>
          <cell r="C4193">
            <v>0</v>
          </cell>
          <cell r="D4193">
            <v>0</v>
          </cell>
        </row>
        <row r="4194">
          <cell r="A4194">
            <v>9990113</v>
          </cell>
          <cell r="B4194" t="str">
            <v>=&gt; HDDs im Raid Level  1 - Verbund (Mirroring)</v>
          </cell>
          <cell r="C4194">
            <v>-20</v>
          </cell>
          <cell r="D4194">
            <v>0</v>
          </cell>
        </row>
        <row r="4195">
          <cell r="A4195">
            <v>9990114</v>
          </cell>
          <cell r="B4195" t="str">
            <v>-&gt;&gt; HDDs im Raid Level  5 - Verbund</v>
          </cell>
          <cell r="C4195">
            <v>0</v>
          </cell>
          <cell r="D4195">
            <v>2.5</v>
          </cell>
        </row>
        <row r="4196">
          <cell r="A4196">
            <v>9990157</v>
          </cell>
          <cell r="B4196" t="str">
            <v>=&gt; Partitionierung BOOT-HDD    80GB</v>
          </cell>
          <cell r="C4196">
            <v>-2</v>
          </cell>
          <cell r="D4196">
            <v>0</v>
          </cell>
        </row>
        <row r="4197">
          <cell r="A4197">
            <v>9990161</v>
          </cell>
          <cell r="B4197" t="str">
            <v>=&gt; Partitionierung BOOT-HDD   150GB</v>
          </cell>
          <cell r="C4197">
            <v>-35</v>
          </cell>
          <cell r="D4197">
            <v>0</v>
          </cell>
        </row>
        <row r="4198">
          <cell r="A4198">
            <v>9990192</v>
          </cell>
          <cell r="B4198" t="str">
            <v>=&gt; Windows XP Prof.  DE vorinstalliert</v>
          </cell>
          <cell r="C4198">
            <v>-17</v>
          </cell>
          <cell r="D4198">
            <v>0</v>
          </cell>
        </row>
        <row r="4199">
          <cell r="A4199">
            <v>9990193</v>
          </cell>
          <cell r="B4199" t="str">
            <v>MS Windows Vista Business SB installiert</v>
          </cell>
          <cell r="C4199">
            <v>0</v>
          </cell>
          <cell r="D4199">
            <v>0</v>
          </cell>
        </row>
        <row r="4200">
          <cell r="A4200">
            <v>9990380</v>
          </cell>
          <cell r="B4200" t="str">
            <v>=&gt; Windows 7 - neutrale Installation -</v>
          </cell>
          <cell r="C4200">
            <v>-454</v>
          </cell>
          <cell r="D4200">
            <v>0</v>
          </cell>
        </row>
        <row r="4201">
          <cell r="A4201">
            <v>9990382</v>
          </cell>
          <cell r="B4201" t="str">
            <v>-&gt;&gt; MS W7 - XP Mode Installation - [DE]</v>
          </cell>
          <cell r="C4201">
            <v>-8</v>
          </cell>
          <cell r="D4201">
            <v>0</v>
          </cell>
        </row>
        <row r="4202">
          <cell r="A4202">
            <v>9990400</v>
          </cell>
          <cell r="B4202" t="str">
            <v>-&gt;&gt; MS W7 Professional-&gt; XP Pro. 32 Bit [DE] inst.</v>
          </cell>
          <cell r="C4202">
            <v>3</v>
          </cell>
          <cell r="D4202">
            <v>0</v>
          </cell>
        </row>
        <row r="4203">
          <cell r="A4203">
            <v>9990401</v>
          </cell>
          <cell r="B4203" t="str">
            <v>-&gt;&gt; MS W7 Professional-&gt; XP Pro. 32 Bit [UK] inst.</v>
          </cell>
          <cell r="C4203">
            <v>0</v>
          </cell>
          <cell r="D4203">
            <v>0</v>
          </cell>
        </row>
        <row r="4204">
          <cell r="A4204">
            <v>9990410</v>
          </cell>
          <cell r="B4204" t="str">
            <v>=&gt; Windows 7 Prof. 32bit DE vorinstalliert</v>
          </cell>
          <cell r="C4204">
            <v>-293</v>
          </cell>
          <cell r="D4204">
            <v>0</v>
          </cell>
        </row>
        <row r="4205">
          <cell r="A4205">
            <v>9990411</v>
          </cell>
          <cell r="B4205" t="str">
            <v>=&gt; Windows 7 Prof. 32bit UK vorinstalliert</v>
          </cell>
          <cell r="C4205">
            <v>-13</v>
          </cell>
          <cell r="D4205">
            <v>0</v>
          </cell>
        </row>
        <row r="4206">
          <cell r="A4206">
            <v>9990415</v>
          </cell>
          <cell r="B4206" t="str">
            <v>=&gt; Windows 7 Prof. 64bit DE vorinstalliert</v>
          </cell>
          <cell r="C4206">
            <v>-148</v>
          </cell>
          <cell r="D4206">
            <v>0</v>
          </cell>
        </row>
        <row r="4207">
          <cell r="A4207">
            <v>9990416</v>
          </cell>
          <cell r="B4207" t="str">
            <v>=&gt; Windows 7 Prof. 64bit UK vorinstalliert</v>
          </cell>
          <cell r="C4207">
            <v>-5</v>
          </cell>
          <cell r="D4207">
            <v>0</v>
          </cell>
        </row>
        <row r="4208">
          <cell r="A4208" t="str">
            <v>AC36</v>
          </cell>
          <cell r="B4208" t="str">
            <v>Garantie 36 Monate (Bring-in)</v>
          </cell>
          <cell r="C4208">
            <v>-222</v>
          </cell>
          <cell r="D4208">
            <v>0</v>
          </cell>
        </row>
        <row r="4209">
          <cell r="A4209" t="str">
            <v>AC48</v>
          </cell>
          <cell r="B4209" t="str">
            <v>Garantieverlängerung auf 48 Monate (Bring-in)</v>
          </cell>
          <cell r="C4209">
            <v>-24</v>
          </cell>
          <cell r="D4209">
            <v>0</v>
          </cell>
        </row>
        <row r="4210">
          <cell r="A4210" t="str">
            <v>AESCU.CERTUS</v>
          </cell>
          <cell r="B4210" t="str">
            <v>MCD Medical Line AESCU.certus</v>
          </cell>
          <cell r="C4210">
            <v>0</v>
          </cell>
          <cell r="D4210">
            <v>0</v>
          </cell>
        </row>
        <row r="4211">
          <cell r="A4211" t="str">
            <v>AIDA HD CNCT DC W SS</v>
          </cell>
          <cell r="B4211" t="str">
            <v>AIDA HD Connect Dual Channel with  SS (DVD)</v>
          </cell>
          <cell r="C4211">
            <v>0</v>
          </cell>
          <cell r="D4211">
            <v>0</v>
          </cell>
        </row>
        <row r="4212">
          <cell r="A4212" t="str">
            <v>AIDA HD CNCT W SS</v>
          </cell>
          <cell r="B4212" t="str">
            <v>AIDA HD Connect with SmartScreen (Blu-ray drive)</v>
          </cell>
          <cell r="C4212">
            <v>0</v>
          </cell>
          <cell r="D4212">
            <v>0</v>
          </cell>
        </row>
        <row r="4213">
          <cell r="A4213" t="str">
            <v>AIDA HD CNCT W SS BR</v>
          </cell>
          <cell r="B4213" t="str">
            <v>AIDA HD Connect with SmartScreen (Blu-ray Read)</v>
          </cell>
          <cell r="C4213">
            <v>0</v>
          </cell>
          <cell r="D4213">
            <v>4952</v>
          </cell>
        </row>
        <row r="4214">
          <cell r="A4214" t="str">
            <v>AIDA HD CNCT W/O SS</v>
          </cell>
          <cell r="B4214" t="str">
            <v>AIDA HD Connect w/o SmartScreen (Blu-ray Read)</v>
          </cell>
          <cell r="C4214">
            <v>0</v>
          </cell>
          <cell r="D4214">
            <v>0</v>
          </cell>
        </row>
        <row r="4215">
          <cell r="A4215" t="str">
            <v>AIDA HD CNT DC WO SS</v>
          </cell>
          <cell r="B4215" t="str">
            <v>AIDA HD Connect Dual Channel w/o  SS (DVD)</v>
          </cell>
          <cell r="C4215">
            <v>0</v>
          </cell>
          <cell r="D4215">
            <v>0</v>
          </cell>
        </row>
        <row r="4216">
          <cell r="A4216" t="str">
            <v>AIDA.ROM</v>
          </cell>
          <cell r="B4216" t="str">
            <v>BIOS Einstellungen AIDA Control NEO 20046120-D</v>
          </cell>
          <cell r="C4216">
            <v>-2747</v>
          </cell>
          <cell r="D4216">
            <v>0</v>
          </cell>
        </row>
        <row r="4217">
          <cell r="A4217" t="str">
            <v>AZ</v>
          </cell>
          <cell r="B4217" t="str">
            <v>Arbeitszeit - Einheit (15 Min.)</v>
          </cell>
          <cell r="C4217">
            <v>-155</v>
          </cell>
          <cell r="D4217">
            <v>0</v>
          </cell>
        </row>
        <row r="4218">
          <cell r="A4218" t="str">
            <v>BB11-0019_A</v>
          </cell>
          <cell r="B4218" t="str">
            <v>Aufkleber Systemlabel Schiller DS 104</v>
          </cell>
          <cell r="C4218">
            <v>0</v>
          </cell>
          <cell r="D4218">
            <v>0</v>
          </cell>
        </row>
        <row r="4219">
          <cell r="A4219" t="str">
            <v>BB11-0019_B</v>
          </cell>
          <cell r="B4219" t="str">
            <v>Aufkleber Systemlabel Schiller DS 104</v>
          </cell>
          <cell r="C4219">
            <v>-83</v>
          </cell>
          <cell r="D4219">
            <v>0</v>
          </cell>
        </row>
        <row r="4220">
          <cell r="A4220" t="str">
            <v>BB12-0008_B</v>
          </cell>
          <cell r="B4220" t="str">
            <v>Aufkleber Systemlabel THA.leia 19" PCI</v>
          </cell>
          <cell r="C4220">
            <v>0</v>
          </cell>
          <cell r="D4220">
            <v>0</v>
          </cell>
        </row>
        <row r="4221">
          <cell r="A4221" t="str">
            <v>BB12-0009_B</v>
          </cell>
          <cell r="B4221" t="str">
            <v>Aufkleber Systemlabel THA.leia 19" Touch PCI</v>
          </cell>
          <cell r="C4221">
            <v>-6</v>
          </cell>
          <cell r="D4221">
            <v>0</v>
          </cell>
        </row>
        <row r="4222">
          <cell r="A4222" t="str">
            <v>BB12-0011_B</v>
          </cell>
          <cell r="B4222" t="str">
            <v>Label System AESCU.certus Stand</v>
          </cell>
          <cell r="C4222">
            <v>-13</v>
          </cell>
          <cell r="D4222">
            <v>0</v>
          </cell>
        </row>
        <row r="4223">
          <cell r="A4223" t="str">
            <v>BB12-0012_B</v>
          </cell>
          <cell r="B4223" t="str">
            <v>Label System AESCU.certus Wand</v>
          </cell>
          <cell r="C4223">
            <v>-5</v>
          </cell>
          <cell r="D4223">
            <v>0</v>
          </cell>
        </row>
        <row r="4224">
          <cell r="A4224" t="str">
            <v>BB12-0013_A</v>
          </cell>
          <cell r="B4224" t="str">
            <v>Aufkleber Systemlabel AC Desktop-Version</v>
          </cell>
          <cell r="C4224">
            <v>0</v>
          </cell>
          <cell r="D4224">
            <v>0</v>
          </cell>
        </row>
        <row r="4225">
          <cell r="A4225" t="str">
            <v>BB12-0013_B</v>
          </cell>
          <cell r="B4225" t="str">
            <v>Aufkleber Systemlabel AC Desktop-Version</v>
          </cell>
          <cell r="C4225">
            <v>-9</v>
          </cell>
          <cell r="D4225">
            <v>0</v>
          </cell>
        </row>
        <row r="4226">
          <cell r="A4226" t="str">
            <v>BB12-0013_C</v>
          </cell>
          <cell r="B4226" t="str">
            <v>Aufkleber Systemlabel AC Desktop-Version</v>
          </cell>
          <cell r="C4226">
            <v>-179</v>
          </cell>
          <cell r="D4226">
            <v>0</v>
          </cell>
        </row>
        <row r="4227">
          <cell r="A4227" t="str">
            <v>BB12-0013_D</v>
          </cell>
          <cell r="B4227" t="str">
            <v>Aufkleber Systemlabel AC Desktop-Version</v>
          </cell>
          <cell r="C4227">
            <v>-8</v>
          </cell>
          <cell r="D4227">
            <v>0</v>
          </cell>
        </row>
        <row r="4228">
          <cell r="A4228" t="str">
            <v>BB12-0014_A</v>
          </cell>
          <cell r="B4228" t="str">
            <v>Aufkleber Systemlabel AC Wand-Version</v>
          </cell>
          <cell r="C4228">
            <v>0</v>
          </cell>
          <cell r="D4228">
            <v>0</v>
          </cell>
        </row>
        <row r="4229">
          <cell r="A4229" t="str">
            <v>BB12-0014_B</v>
          </cell>
          <cell r="B4229" t="str">
            <v>Aufkleber Systemlabel AC Wand-Version</v>
          </cell>
          <cell r="C4229">
            <v>-10</v>
          </cell>
          <cell r="D4229">
            <v>0</v>
          </cell>
        </row>
        <row r="4230">
          <cell r="A4230" t="str">
            <v>BB12-0014_C</v>
          </cell>
          <cell r="B4230" t="str">
            <v>Aufkleber Systemlabel AC Wand-Version</v>
          </cell>
          <cell r="C4230">
            <v>-2</v>
          </cell>
          <cell r="D4230">
            <v>0</v>
          </cell>
        </row>
        <row r="4231">
          <cell r="A4231" t="str">
            <v>BB12-0014_D</v>
          </cell>
          <cell r="B4231" t="str">
            <v>Aufkleber Systemlabel AC Wand-Version</v>
          </cell>
          <cell r="C4231">
            <v>0</v>
          </cell>
          <cell r="D4231">
            <v>0</v>
          </cell>
        </row>
        <row r="4232">
          <cell r="A4232" t="str">
            <v>BB12-0017_B</v>
          </cell>
          <cell r="B4232" t="str">
            <v>Aufkleber Systemlabel MCD Medical Line PANA.ceia</v>
          </cell>
          <cell r="C4232">
            <v>-106</v>
          </cell>
          <cell r="D4232">
            <v>0</v>
          </cell>
        </row>
        <row r="4233">
          <cell r="A4233" t="str">
            <v>BB12-0018_B</v>
          </cell>
          <cell r="B4233" t="str">
            <v>Aufkleber Systemlabel MCD Medical Line VEIO.vis</v>
          </cell>
          <cell r="C4233">
            <v>-12</v>
          </cell>
          <cell r="D4233">
            <v>0</v>
          </cell>
        </row>
        <row r="4234">
          <cell r="A4234" t="str">
            <v>BB12-0029_B</v>
          </cell>
          <cell r="B4234" t="str">
            <v>Systemlabel MCD Medical Line THA.leia 21,5" Touch</v>
          </cell>
          <cell r="C4234">
            <v>-4</v>
          </cell>
          <cell r="D4234">
            <v>0</v>
          </cell>
        </row>
        <row r="4235">
          <cell r="A4235" t="str">
            <v>BB12-0030_B</v>
          </cell>
          <cell r="B4235" t="str">
            <v>Systemlabel MCD Medical Line THA.leia 21,5"</v>
          </cell>
          <cell r="C4235">
            <v>-1</v>
          </cell>
          <cell r="D4235">
            <v>0</v>
          </cell>
        </row>
        <row r="4236">
          <cell r="A4236" t="str">
            <v>BB12-0035_A</v>
          </cell>
          <cell r="B4236" t="str">
            <v>Aufkleber Systemlabel MCD Medical Line GEN.ius</v>
          </cell>
          <cell r="C4236">
            <v>-1</v>
          </cell>
          <cell r="D4236">
            <v>0</v>
          </cell>
        </row>
        <row r="4237">
          <cell r="A4237" t="str">
            <v>BB12-0036_A</v>
          </cell>
          <cell r="B4237" t="str">
            <v>Aufkleber Systemlabel MCD Medical Line PANA.ceia²</v>
          </cell>
          <cell r="C4237">
            <v>-6</v>
          </cell>
          <cell r="D4237">
            <v>0</v>
          </cell>
        </row>
        <row r="4238">
          <cell r="A4238" t="str">
            <v>BB12-0036_B</v>
          </cell>
          <cell r="B4238" t="str">
            <v>Aufkleber Systemlabel MCD Medical Line PANA.ceia²</v>
          </cell>
          <cell r="C4238">
            <v>-86</v>
          </cell>
          <cell r="D4238">
            <v>0</v>
          </cell>
        </row>
        <row r="4239">
          <cell r="A4239" t="str">
            <v>BB12-0036_C</v>
          </cell>
          <cell r="B4239" t="str">
            <v>Aufkleber Systemlabel MCD Medical Line PANA.ceia²</v>
          </cell>
          <cell r="C4239">
            <v>-128</v>
          </cell>
          <cell r="D4239">
            <v>0</v>
          </cell>
        </row>
        <row r="4240">
          <cell r="A4240" t="str">
            <v>BB12-0037_A</v>
          </cell>
          <cell r="B4240" t="str">
            <v>Aufkleber Systemlabel MCD Medical Line OMNI.view</v>
          </cell>
          <cell r="C4240">
            <v>0</v>
          </cell>
          <cell r="D4240">
            <v>0</v>
          </cell>
        </row>
        <row r="4241">
          <cell r="A4241" t="str">
            <v>BB12-0037_B</v>
          </cell>
          <cell r="B4241" t="str">
            <v>Aufkleber Systemlabel MCD Medical Line OMNI.view</v>
          </cell>
          <cell r="C4241">
            <v>0</v>
          </cell>
          <cell r="D4241">
            <v>0</v>
          </cell>
        </row>
        <row r="4242">
          <cell r="A4242" t="str">
            <v>BB12-0037_C</v>
          </cell>
          <cell r="B4242" t="str">
            <v>Aufkleber Systemlabel MCD Medical Line OMNI.view</v>
          </cell>
          <cell r="C4242">
            <v>-20</v>
          </cell>
          <cell r="D4242">
            <v>0</v>
          </cell>
        </row>
        <row r="4243">
          <cell r="A4243" t="str">
            <v>BB12-0040_A</v>
          </cell>
          <cell r="B4243" t="str">
            <v>Systemlabel Medical-Cardio PC i5 Schiller</v>
          </cell>
          <cell r="C4243">
            <v>-2</v>
          </cell>
          <cell r="D4243">
            <v>0</v>
          </cell>
        </row>
        <row r="4244">
          <cell r="A4244" t="str">
            <v>BB12-0040_B</v>
          </cell>
          <cell r="B4244" t="str">
            <v>Systemlabel Medical-Cardio PC i5 Schiller</v>
          </cell>
          <cell r="C4244">
            <v>-92</v>
          </cell>
          <cell r="D4244">
            <v>0</v>
          </cell>
        </row>
        <row r="4245">
          <cell r="A4245" t="str">
            <v>BB12-0040_C</v>
          </cell>
          <cell r="B4245" t="str">
            <v>Systemlabel Medical-Cardio PC i5 Schiller</v>
          </cell>
          <cell r="C4245">
            <v>-88</v>
          </cell>
          <cell r="D4245">
            <v>0</v>
          </cell>
        </row>
        <row r="4246">
          <cell r="A4246" t="str">
            <v>BB13-0001_A</v>
          </cell>
          <cell r="B4246" t="str">
            <v>Systemlabel PC AMD BOM 3</v>
          </cell>
          <cell r="C4246">
            <v>-7</v>
          </cell>
          <cell r="D4246">
            <v>0</v>
          </cell>
        </row>
        <row r="4247">
          <cell r="A4247" t="str">
            <v>BB13-0001_C</v>
          </cell>
          <cell r="B4247" t="str">
            <v>Systemlabel PC AMD BOM 3</v>
          </cell>
          <cell r="C4247">
            <v>-4</v>
          </cell>
          <cell r="D4247">
            <v>0</v>
          </cell>
        </row>
        <row r="4248">
          <cell r="A4248" t="str">
            <v>BB13-0002_A</v>
          </cell>
          <cell r="B4248" t="str">
            <v>Systemlabel Cart AMD BOM 3</v>
          </cell>
          <cell r="C4248">
            <v>-6</v>
          </cell>
          <cell r="D4248">
            <v>0</v>
          </cell>
        </row>
        <row r="4249">
          <cell r="A4249" t="str">
            <v>BB13-0002_C</v>
          </cell>
          <cell r="B4249" t="str">
            <v>Systemlabel Cart AMD BOM 3</v>
          </cell>
          <cell r="C4249">
            <v>-4</v>
          </cell>
          <cell r="D4249">
            <v>0</v>
          </cell>
        </row>
        <row r="4250">
          <cell r="A4250" t="str">
            <v>BB13-0003_A</v>
          </cell>
          <cell r="B4250" t="str">
            <v>Aufkleber Systemlabel AESCU.certus² UKF</v>
          </cell>
          <cell r="C4250">
            <v>-2</v>
          </cell>
          <cell r="D4250">
            <v>0</v>
          </cell>
        </row>
        <row r="4251">
          <cell r="A4251" t="str">
            <v>BB13-0003_B</v>
          </cell>
          <cell r="B4251" t="str">
            <v>Aufkleber Systemlabel AESCU.certus² UKF</v>
          </cell>
          <cell r="C4251">
            <v>0</v>
          </cell>
          <cell r="D4251">
            <v>0</v>
          </cell>
        </row>
        <row r="4252">
          <cell r="A4252" t="str">
            <v>BB13-0004_A</v>
          </cell>
          <cell r="B4252" t="str">
            <v>Aufkleber Systemlabel OMNI.view non-Touch</v>
          </cell>
          <cell r="C4252">
            <v>0</v>
          </cell>
          <cell r="D4252">
            <v>0</v>
          </cell>
        </row>
        <row r="4253">
          <cell r="A4253" t="str">
            <v>BB13-0004_B</v>
          </cell>
          <cell r="B4253" t="str">
            <v>Aufkleber Systemlabel OMNI.view non-Touch</v>
          </cell>
          <cell r="C4253">
            <v>-168</v>
          </cell>
          <cell r="D4253">
            <v>0</v>
          </cell>
        </row>
        <row r="4254">
          <cell r="A4254" t="str">
            <v>BB13-0005_A</v>
          </cell>
          <cell r="B4254" t="str">
            <v>Aufkleber Systemlabel THA.leia 19" NON-TOUCH</v>
          </cell>
          <cell r="C4254">
            <v>0</v>
          </cell>
          <cell r="D4254">
            <v>0</v>
          </cell>
        </row>
        <row r="4255">
          <cell r="A4255" t="str">
            <v>BB13-0006_A</v>
          </cell>
          <cell r="B4255" t="str">
            <v>Aufkleber Systemlabel THA.leia 19" TOUCH</v>
          </cell>
          <cell r="C4255">
            <v>0</v>
          </cell>
          <cell r="D4255">
            <v>0</v>
          </cell>
        </row>
        <row r="4256">
          <cell r="A4256" t="str">
            <v>BB13-0007_A</v>
          </cell>
          <cell r="B4256" t="str">
            <v>Produktl.(gem.Beschilde.)AESCU.mobilus²Cart ink.PC</v>
          </cell>
          <cell r="C4256">
            <v>-1</v>
          </cell>
          <cell r="D4256">
            <v>0</v>
          </cell>
        </row>
        <row r="4257">
          <cell r="A4257" t="str">
            <v>BB13-0008_A</v>
          </cell>
          <cell r="B4257" t="str">
            <v>Produktlabel(gem.Beschilderungsb.)AESCU.mobilus²PC</v>
          </cell>
          <cell r="C4257">
            <v>-1</v>
          </cell>
          <cell r="D4257">
            <v>0</v>
          </cell>
        </row>
        <row r="4258">
          <cell r="A4258" t="str">
            <v>BB13-0009_A</v>
          </cell>
          <cell r="B4258" t="str">
            <v>Label AMD MASS</v>
          </cell>
          <cell r="C4258">
            <v>-4</v>
          </cell>
          <cell r="D4258">
            <v>0</v>
          </cell>
        </row>
        <row r="4259">
          <cell r="A4259" t="str">
            <v>BB13-0010_A</v>
          </cell>
          <cell r="B4259" t="str">
            <v>RATING LABEL AIDA FUSION WD200</v>
          </cell>
          <cell r="C4259">
            <v>-14</v>
          </cell>
          <cell r="D4259">
            <v>0</v>
          </cell>
        </row>
        <row r="4260">
          <cell r="A4260" t="str">
            <v>BB13-0011_A</v>
          </cell>
          <cell r="B4260" t="str">
            <v>SERIALNUMBER LABEL AIDA FUSION WD200</v>
          </cell>
          <cell r="C4260">
            <v>-42</v>
          </cell>
          <cell r="D4260">
            <v>0</v>
          </cell>
        </row>
        <row r="4261">
          <cell r="A4261" t="str">
            <v>BB13-0012_A</v>
          </cell>
          <cell r="B4261" t="str">
            <v>SHIPPING LABEL AIDA FUSION WD200</v>
          </cell>
          <cell r="C4261">
            <v>-28</v>
          </cell>
          <cell r="D4261">
            <v>0</v>
          </cell>
        </row>
        <row r="4262">
          <cell r="A4262" t="str">
            <v>BB14-0001_A</v>
          </cell>
          <cell r="B4262" t="str">
            <v>Rating Label KARL STORZ OR1 Remote Switch On</v>
          </cell>
          <cell r="C4262">
            <v>0</v>
          </cell>
          <cell r="D4262">
            <v>0</v>
          </cell>
        </row>
        <row r="4263">
          <cell r="A4263" t="str">
            <v>BB14-0002_A</v>
          </cell>
          <cell r="B4263" t="str">
            <v>Shipping Label KARL STORZ OR1 Remote Switch On</v>
          </cell>
          <cell r="C4263">
            <v>0</v>
          </cell>
          <cell r="D4263">
            <v>0</v>
          </cell>
        </row>
        <row r="4264">
          <cell r="A4264" t="str">
            <v>BB14-0003_A</v>
          </cell>
          <cell r="B4264" t="str">
            <v>Envelope Label</v>
          </cell>
          <cell r="C4264">
            <v>0</v>
          </cell>
          <cell r="D4264">
            <v>0</v>
          </cell>
        </row>
        <row r="4265">
          <cell r="A4265" t="str">
            <v>BBGPCN009</v>
          </cell>
          <cell r="B4265" t="str">
            <v xml:space="preserve"> MCD Vision Line BT / BBGPCN010</v>
          </cell>
          <cell r="C4265">
            <v>0</v>
          </cell>
          <cell r="D4265">
            <v>0</v>
          </cell>
        </row>
        <row r="4266">
          <cell r="A4266" t="str">
            <v>BBGPCN011</v>
          </cell>
          <cell r="B4266" t="str">
            <v xml:space="preserve"> MCD Vision Line BT / BBGPCN011</v>
          </cell>
          <cell r="C4266">
            <v>0</v>
          </cell>
          <cell r="D4266">
            <v>0</v>
          </cell>
        </row>
        <row r="4267">
          <cell r="A4267" t="str">
            <v>BT-152</v>
          </cell>
          <cell r="B4267" t="str">
            <v>MCD Vision  Line BT-152</v>
          </cell>
          <cell r="C4267">
            <v>0</v>
          </cell>
          <cell r="D4267">
            <v>0</v>
          </cell>
        </row>
        <row r="4268">
          <cell r="A4268" t="str">
            <v>BT151</v>
          </cell>
          <cell r="B4268" t="str">
            <v>MCD Vision  Line BT-151</v>
          </cell>
          <cell r="C4268">
            <v>0</v>
          </cell>
          <cell r="D4268">
            <v>0</v>
          </cell>
        </row>
        <row r="4269">
          <cell r="A4269" t="str">
            <v>BT151_HISSIN001</v>
          </cell>
          <cell r="B4269" t="str">
            <v xml:space="preserve"> BT 151_HISSIN001</v>
          </cell>
          <cell r="C4269">
            <v>0</v>
          </cell>
          <cell r="D4269">
            <v>0</v>
          </cell>
        </row>
        <row r="4270">
          <cell r="A4270" t="str">
            <v>CH1100226</v>
          </cell>
          <cell r="B4270" t="str">
            <v>Tulip NAS SMALL BUSINESS</v>
          </cell>
          <cell r="C4270">
            <v>0</v>
          </cell>
          <cell r="D4270">
            <v>1035</v>
          </cell>
        </row>
        <row r="4271">
          <cell r="A4271" t="str">
            <v>CH1100471</v>
          </cell>
          <cell r="B4271" t="str">
            <v xml:space="preserve"> TERRA SERVER 6120 2iX-5506/2U/SAS</v>
          </cell>
          <cell r="C4271">
            <v>0</v>
          </cell>
          <cell r="D4271">
            <v>0</v>
          </cell>
        </row>
        <row r="4272">
          <cell r="A4272" t="str">
            <v>CR-2HE</v>
          </cell>
          <cell r="B4272" t="str">
            <v>Basis Modell CR-2HE</v>
          </cell>
          <cell r="C4272">
            <v>0</v>
          </cell>
          <cell r="D4272">
            <v>280</v>
          </cell>
        </row>
        <row r="4273">
          <cell r="A4273" t="str">
            <v>CRJR2ATA</v>
          </cell>
          <cell r="B4273" t="str">
            <v>Tulip Direction Line CR JR2ATA</v>
          </cell>
          <cell r="C4273">
            <v>0</v>
          </cell>
          <cell r="D4273">
            <v>0</v>
          </cell>
        </row>
        <row r="4274">
          <cell r="A4274" t="str">
            <v>DIACAP HD CNCT W SS</v>
          </cell>
          <cell r="B4274" t="str">
            <v>AIDA HD Connect DIACAP with SmartScreen</v>
          </cell>
          <cell r="C4274">
            <v>0</v>
          </cell>
          <cell r="D4274">
            <v>0</v>
          </cell>
        </row>
        <row r="4275">
          <cell r="A4275" t="str">
            <v>DR-2100</v>
          </cell>
          <cell r="B4275" t="str">
            <v>MCD Vision Line DR-2100</v>
          </cell>
          <cell r="C4275">
            <v>0</v>
          </cell>
          <cell r="D4275">
            <v>0</v>
          </cell>
        </row>
        <row r="4276">
          <cell r="A4276" t="str">
            <v>DRAF2LX</v>
          </cell>
          <cell r="B4276" t="str">
            <v>MCD Vision  Line DR-AF2LX</v>
          </cell>
          <cell r="C4276">
            <v>0</v>
          </cell>
          <cell r="D4276">
            <v>0</v>
          </cell>
        </row>
        <row r="4277">
          <cell r="A4277" t="str">
            <v>E1001239</v>
          </cell>
          <cell r="B4277" t="str">
            <v>ATX Softswitch-Schalter</v>
          </cell>
          <cell r="C4277">
            <v>0</v>
          </cell>
          <cell r="D4277">
            <v>2</v>
          </cell>
        </row>
        <row r="4278">
          <cell r="A4278" t="str">
            <v>E2010024</v>
          </cell>
          <cell r="B4278" t="str">
            <v>Chenbro Fan SR209/SR105/SR107 120x120</v>
          </cell>
          <cell r="C4278">
            <v>0</v>
          </cell>
          <cell r="D4278">
            <v>5</v>
          </cell>
        </row>
        <row r="4279">
          <cell r="A4279" t="str">
            <v>E2010026</v>
          </cell>
          <cell r="B4279" t="str">
            <v>Kabel Ein / Aus Schalter PANA.ceia²</v>
          </cell>
          <cell r="C4279">
            <v>1</v>
          </cell>
          <cell r="D4279">
            <v>0.25</v>
          </cell>
        </row>
        <row r="4280">
          <cell r="A4280" t="str">
            <v>E2010027</v>
          </cell>
          <cell r="B4280" t="str">
            <v>Chenbro PC607 Kabelverlängerung Buchse/Buchse</v>
          </cell>
          <cell r="C4280">
            <v>0</v>
          </cell>
          <cell r="D4280">
            <v>0.5</v>
          </cell>
        </row>
        <row r="4281">
          <cell r="A4281" t="str">
            <v>E2010227</v>
          </cell>
          <cell r="B4281" t="str">
            <v>Chenbro PC60782 NEW rubber foot set (4 Stück )</v>
          </cell>
          <cell r="C4281">
            <v>0</v>
          </cell>
          <cell r="D4281">
            <v>0.8</v>
          </cell>
        </row>
        <row r="4282">
          <cell r="A4282" t="str">
            <v>E2100011</v>
          </cell>
          <cell r="B4282" t="str">
            <v>MSI Barebone CPU Kühler</v>
          </cell>
          <cell r="C4282">
            <v>0</v>
          </cell>
          <cell r="D4282">
            <v>19</v>
          </cell>
        </row>
        <row r="4283">
          <cell r="A4283" t="str">
            <v>ER-1200</v>
          </cell>
          <cell r="B4283" t="str">
            <v>MCD Vision Line ER-1200</v>
          </cell>
          <cell r="C4283">
            <v>0</v>
          </cell>
          <cell r="D4283">
            <v>0</v>
          </cell>
        </row>
        <row r="4284">
          <cell r="A4284" t="str">
            <v>ER945P</v>
          </cell>
          <cell r="B4284" t="str">
            <v>MCD Vision Line ER-945P</v>
          </cell>
          <cell r="C4284">
            <v>0</v>
          </cell>
          <cell r="D4284">
            <v>0</v>
          </cell>
        </row>
        <row r="4285">
          <cell r="A4285" t="str">
            <v>FR1001138</v>
          </cell>
          <cell r="B4285" t="str">
            <v>1001123/6570/4GB/1TB/9100/W7HP</v>
          </cell>
          <cell r="C4285">
            <v>0</v>
          </cell>
          <cell r="D4285">
            <v>0</v>
          </cell>
        </row>
        <row r="4286">
          <cell r="A4286" t="str">
            <v>FRACHT</v>
          </cell>
          <cell r="B4286" t="str">
            <v>Fracht</v>
          </cell>
          <cell r="C4286">
            <v>-1446</v>
          </cell>
          <cell r="D4286">
            <v>0</v>
          </cell>
        </row>
        <row r="4287">
          <cell r="A4287" t="str">
            <v>H/PCOSMOS 001</v>
          </cell>
          <cell r="B4287" t="str">
            <v>Medical Line  Deskside MPM-1000 h/p/cosmos</v>
          </cell>
          <cell r="C4287">
            <v>0</v>
          </cell>
          <cell r="D4287">
            <v>0</v>
          </cell>
        </row>
        <row r="4288">
          <cell r="A4288" t="str">
            <v>IR8601-01</v>
          </cell>
          <cell r="B4288" t="str">
            <v>ARTHREX AIDA HDC without SmartScreen (DVD)</v>
          </cell>
          <cell r="C4288">
            <v>0</v>
          </cell>
          <cell r="D4288">
            <v>3181.54</v>
          </cell>
        </row>
        <row r="4289">
          <cell r="A4289" t="str">
            <v>IR8601-02</v>
          </cell>
          <cell r="B4289" t="str">
            <v>ARTHREX AIDA HDC with SmartScreen (DVD)</v>
          </cell>
          <cell r="C4289">
            <v>0</v>
          </cell>
          <cell r="D4289">
            <v>4769.25</v>
          </cell>
        </row>
        <row r="4290">
          <cell r="A4290" t="str">
            <v>IR8701-01</v>
          </cell>
          <cell r="B4290" t="str">
            <v>ARTHREX AIDA HDC without SmartScreen (Blu-ray)</v>
          </cell>
          <cell r="C4290">
            <v>0</v>
          </cell>
          <cell r="D4290">
            <v>3084.34</v>
          </cell>
        </row>
        <row r="4291">
          <cell r="A4291" t="str">
            <v>IR8701-02</v>
          </cell>
          <cell r="B4291" t="str">
            <v>ARTHREX AIDA HDC with SmartScreen (Blu-ray)</v>
          </cell>
          <cell r="C4291">
            <v>0</v>
          </cell>
          <cell r="D4291">
            <v>5257.98</v>
          </cell>
        </row>
        <row r="4292">
          <cell r="A4292" t="str">
            <v>KOMPLETT</v>
          </cell>
          <cell r="B4292" t="str">
            <v>Komplettpaket</v>
          </cell>
          <cell r="C4292">
            <v>0</v>
          </cell>
          <cell r="D4292">
            <v>0</v>
          </cell>
        </row>
        <row r="4293">
          <cell r="A4293" t="str">
            <v>KS-9824103</v>
          </cell>
          <cell r="B4293" t="str">
            <v>Smartscreen KST</v>
          </cell>
          <cell r="C4293">
            <v>0</v>
          </cell>
          <cell r="D4293">
            <v>1690</v>
          </cell>
        </row>
        <row r="4294">
          <cell r="A4294" t="str">
            <v>KSI-BIOS</v>
          </cell>
          <cell r="B4294" t="str">
            <v>BIOS KSI AIDA HD CONNECT 070111-0100X4</v>
          </cell>
          <cell r="C4294">
            <v>-2166</v>
          </cell>
          <cell r="D4294">
            <v>0</v>
          </cell>
        </row>
        <row r="4295">
          <cell r="A4295" t="str">
            <v>KSI-IMAGE</v>
          </cell>
          <cell r="B4295" t="str">
            <v>IMAGE KSI AIDA HD CONNECT 070111-0007BA</v>
          </cell>
          <cell r="C4295">
            <v>-1019</v>
          </cell>
          <cell r="D4295">
            <v>0</v>
          </cell>
        </row>
        <row r="4296">
          <cell r="A4296" t="str">
            <v>KST_AIDA_D</v>
          </cell>
          <cell r="B4296" t="str">
            <v>Testimage AIDA Control NEO 20046120-D</v>
          </cell>
          <cell r="C4296">
            <v>-2747</v>
          </cell>
          <cell r="D4296">
            <v>0</v>
          </cell>
        </row>
        <row r="4297">
          <cell r="A4297" t="str">
            <v>MCD BTO PC</v>
          </cell>
          <cell r="B4297" t="str">
            <v xml:space="preserve"> MCD Vision Line BTO PC</v>
          </cell>
          <cell r="C4297">
            <v>0</v>
          </cell>
          <cell r="D4297">
            <v>0</v>
          </cell>
        </row>
        <row r="4298">
          <cell r="A4298" t="str">
            <v>MCD BTO SERVER</v>
          </cell>
          <cell r="B4298" t="str">
            <v xml:space="preserve"> MCD Vision Line BTO Server</v>
          </cell>
          <cell r="C4298">
            <v>0</v>
          </cell>
          <cell r="D4298">
            <v>0</v>
          </cell>
        </row>
        <row r="4299">
          <cell r="A4299" t="str">
            <v>MCD CR-1HE</v>
          </cell>
          <cell r="B4299" t="str">
            <v>MCD Vision  Line CR-1HE</v>
          </cell>
          <cell r="C4299">
            <v>0</v>
          </cell>
          <cell r="D4299">
            <v>0</v>
          </cell>
        </row>
        <row r="4300">
          <cell r="A4300" t="str">
            <v>MCD CR-2HE</v>
          </cell>
          <cell r="B4300" t="str">
            <v>MCD Vision  Line CR-2HE</v>
          </cell>
          <cell r="C4300">
            <v>0</v>
          </cell>
          <cell r="D4300">
            <v>0</v>
          </cell>
        </row>
        <row r="4301">
          <cell r="A4301" t="str">
            <v>MCD O VISION LINE BT</v>
          </cell>
          <cell r="B4301" t="str">
            <v>MCD O Vision Line BT-151 Special</v>
          </cell>
          <cell r="C4301">
            <v>0</v>
          </cell>
          <cell r="D4301">
            <v>0</v>
          </cell>
        </row>
        <row r="4302">
          <cell r="A4302" t="str">
            <v>MCD VISION LINE BT</v>
          </cell>
          <cell r="B4302" t="str">
            <v xml:space="preserve"> MCD Vision Line BT - Compact Tower</v>
          </cell>
          <cell r="C4302">
            <v>0</v>
          </cell>
          <cell r="D4302">
            <v>0</v>
          </cell>
        </row>
        <row r="4303">
          <cell r="A4303" t="str">
            <v>ML1750</v>
          </cell>
          <cell r="B4303" t="str">
            <v>Tulip Motion Line 1750</v>
          </cell>
          <cell r="C4303">
            <v>0</v>
          </cell>
          <cell r="D4303">
            <v>0</v>
          </cell>
        </row>
        <row r="4304">
          <cell r="A4304" t="str">
            <v>ML2200</v>
          </cell>
          <cell r="B4304" t="str">
            <v>Tulip Motion Line 2200 15"</v>
          </cell>
          <cell r="C4304">
            <v>0</v>
          </cell>
          <cell r="D4304">
            <v>0</v>
          </cell>
        </row>
        <row r="4305">
          <cell r="A4305" t="str">
            <v>ML4200</v>
          </cell>
          <cell r="B4305" t="str">
            <v>Tulip Motion Line 4200 15"</v>
          </cell>
          <cell r="C4305">
            <v>0</v>
          </cell>
          <cell r="D4305">
            <v>0</v>
          </cell>
        </row>
        <row r="4306">
          <cell r="A4306" t="str">
            <v>ML4201</v>
          </cell>
          <cell r="B4306" t="str">
            <v>Tulip Motion Line 4201 15"</v>
          </cell>
          <cell r="C4306">
            <v>0</v>
          </cell>
          <cell r="D4306">
            <v>0</v>
          </cell>
        </row>
        <row r="4307">
          <cell r="A4307" t="str">
            <v>ML7100</v>
          </cell>
          <cell r="B4307" t="str">
            <v>Tulip Motion Line 7100</v>
          </cell>
          <cell r="C4307">
            <v>0</v>
          </cell>
          <cell r="D4307">
            <v>0</v>
          </cell>
        </row>
        <row r="4308">
          <cell r="A4308" t="str">
            <v>MLBN-400</v>
          </cell>
          <cell r="B4308" t="str">
            <v>Tulip Motion Line BN-400</v>
          </cell>
          <cell r="C4308">
            <v>0</v>
          </cell>
          <cell r="D4308">
            <v>0</v>
          </cell>
        </row>
        <row r="4309">
          <cell r="A4309" t="str">
            <v>MLNEONII</v>
          </cell>
          <cell r="B4309" t="str">
            <v>Tulip Motion Line NEON II</v>
          </cell>
          <cell r="C4309">
            <v>0</v>
          </cell>
          <cell r="D4309">
            <v>0</v>
          </cell>
        </row>
        <row r="4310">
          <cell r="A4310" t="str">
            <v>MMZ</v>
          </cell>
          <cell r="B4310" t="str">
            <v>Abwicklungspauschale</v>
          </cell>
          <cell r="C4310">
            <v>-168</v>
          </cell>
          <cell r="D4310">
            <v>40</v>
          </cell>
        </row>
        <row r="4311">
          <cell r="A4311" t="str">
            <v>MPD-1000</v>
          </cell>
          <cell r="B4311" t="str">
            <v>Tulip Medical Desktop MPD-1000-schwarz/silber</v>
          </cell>
          <cell r="C4311">
            <v>0</v>
          </cell>
          <cell r="D4311">
            <v>0</v>
          </cell>
        </row>
        <row r="4312">
          <cell r="A4312" t="str">
            <v>MPD-1000-3. TESTSAMP</v>
          </cell>
          <cell r="B4312" t="str">
            <v>Tulip Medical Desktop MPD-1000-beige/silber</v>
          </cell>
          <cell r="C4312">
            <v>0</v>
          </cell>
          <cell r="D4312">
            <v>890</v>
          </cell>
        </row>
        <row r="4313">
          <cell r="A4313" t="str">
            <v>MPD-1000-BEIGE</v>
          </cell>
          <cell r="B4313" t="str">
            <v>Tulip Medical Desktop MPD-1000-beige/silber</v>
          </cell>
          <cell r="C4313">
            <v>0</v>
          </cell>
          <cell r="D4313">
            <v>0</v>
          </cell>
        </row>
        <row r="4314">
          <cell r="A4314" t="str">
            <v>MPD-1000_T100194</v>
          </cell>
          <cell r="B4314" t="str">
            <v>Tulip Medical Desktop MPD-1000-beige/silber</v>
          </cell>
          <cell r="C4314">
            <v>0</v>
          </cell>
          <cell r="D4314">
            <v>419</v>
          </cell>
        </row>
        <row r="4315">
          <cell r="A4315" t="str">
            <v>MPD-1100 BEIGE</v>
          </cell>
          <cell r="B4315" t="str">
            <v>MCD Medical Line MPD-1100 Beige</v>
          </cell>
          <cell r="C4315">
            <v>0</v>
          </cell>
          <cell r="D4315">
            <v>0</v>
          </cell>
        </row>
        <row r="4316">
          <cell r="A4316" t="str">
            <v>MPD-1100 SCHWARZ</v>
          </cell>
          <cell r="B4316" t="str">
            <v>MCD Medical Line MPD-1100 Schwarz</v>
          </cell>
          <cell r="C4316">
            <v>0</v>
          </cell>
          <cell r="D4316">
            <v>0</v>
          </cell>
        </row>
        <row r="4317">
          <cell r="A4317" t="str">
            <v>MPM-1000</v>
          </cell>
          <cell r="B4317" t="str">
            <v>MCD Medical Line  MPM-1000</v>
          </cell>
          <cell r="C4317">
            <v>0</v>
          </cell>
          <cell r="D4317">
            <v>0</v>
          </cell>
        </row>
        <row r="4318">
          <cell r="A4318" t="str">
            <v>MPM-1000-COMPWARE</v>
          </cell>
          <cell r="B4318" t="str">
            <v>MCD Medical Line  MPM-1000 Compware</v>
          </cell>
          <cell r="C4318">
            <v>0</v>
          </cell>
          <cell r="D4318">
            <v>682</v>
          </cell>
        </row>
        <row r="4319">
          <cell r="A4319" t="str">
            <v>MPM-1000-HISSIN003</v>
          </cell>
          <cell r="B4319" t="str">
            <v>MCD Medical Line Medical Deskside MPM-1000</v>
          </cell>
          <cell r="C4319">
            <v>0</v>
          </cell>
          <cell r="D4319">
            <v>802.83</v>
          </cell>
        </row>
        <row r="4320">
          <cell r="A4320" t="str">
            <v>MPM800</v>
          </cell>
          <cell r="B4320" t="str">
            <v>Tulip Vision Line Medical Deskside MPM 800</v>
          </cell>
          <cell r="C4320">
            <v>0</v>
          </cell>
          <cell r="D4320">
            <v>0</v>
          </cell>
        </row>
        <row r="4321">
          <cell r="A4321" t="str">
            <v>MPM900</v>
          </cell>
          <cell r="B4321" t="str">
            <v>Tulip Vision Line Medical Deskside MPM 900</v>
          </cell>
          <cell r="C4321">
            <v>0</v>
          </cell>
          <cell r="D4321">
            <v>0</v>
          </cell>
        </row>
        <row r="4322">
          <cell r="A4322" t="str">
            <v>MPM900_COMPWARE</v>
          </cell>
          <cell r="B4322" t="str">
            <v>Tulip MPM900_Compware</v>
          </cell>
          <cell r="C4322">
            <v>0</v>
          </cell>
          <cell r="D4322">
            <v>0</v>
          </cell>
        </row>
        <row r="4323">
          <cell r="A4323" t="str">
            <v>MPM900_HISSIN002</v>
          </cell>
          <cell r="B4323" t="str">
            <v>Tulip MPM900_HISSIN002</v>
          </cell>
          <cell r="C4323">
            <v>0</v>
          </cell>
          <cell r="D4323">
            <v>0</v>
          </cell>
        </row>
        <row r="4324">
          <cell r="A4324" t="str">
            <v>MPM900_HISSIN003</v>
          </cell>
          <cell r="B4324" t="str">
            <v>Tulip MPM900_HISSIN003</v>
          </cell>
          <cell r="C4324">
            <v>0</v>
          </cell>
          <cell r="D4324">
            <v>0</v>
          </cell>
        </row>
        <row r="4325">
          <cell r="A4325" t="str">
            <v>MPM900SG</v>
          </cell>
          <cell r="B4325" t="str">
            <v>Tulip MPM900 "Schiller Groß"</v>
          </cell>
          <cell r="C4325">
            <v>0</v>
          </cell>
          <cell r="D4325">
            <v>0</v>
          </cell>
        </row>
        <row r="4326">
          <cell r="A4326" t="str">
            <v>MPM900SS</v>
          </cell>
          <cell r="B4326" t="str">
            <v>Tulip MPM900 "Schiller Standard"</v>
          </cell>
          <cell r="C4326">
            <v>0</v>
          </cell>
          <cell r="D4326">
            <v>0</v>
          </cell>
        </row>
        <row r="4327">
          <cell r="A4327" t="str">
            <v>MQ219S</v>
          </cell>
          <cell r="B4327" t="str">
            <v>19" LCD MQ219, Standfuß</v>
          </cell>
          <cell r="C4327">
            <v>0</v>
          </cell>
          <cell r="D4327">
            <v>520</v>
          </cell>
        </row>
        <row r="4328">
          <cell r="A4328" t="str">
            <v>MR SILENT SERVER</v>
          </cell>
          <cell r="B4328" t="str">
            <v>MCD Vision Line MR-1100</v>
          </cell>
          <cell r="C4328">
            <v>0</v>
          </cell>
          <cell r="D4328">
            <v>0</v>
          </cell>
        </row>
        <row r="4329">
          <cell r="A4329" t="str">
            <v>MR1100</v>
          </cell>
          <cell r="B4329" t="str">
            <v>MCD Visison Line MR-1100</v>
          </cell>
          <cell r="C4329">
            <v>0</v>
          </cell>
          <cell r="D4329">
            <v>391.1</v>
          </cell>
        </row>
        <row r="4330">
          <cell r="A4330" t="str">
            <v>N222-0004</v>
          </cell>
          <cell r="B4330" t="str">
            <v>Tulip SlimBook A120, mit Digitizer, Centrino</v>
          </cell>
          <cell r="C4330">
            <v>0</v>
          </cell>
          <cell r="D4330">
            <v>1578</v>
          </cell>
        </row>
        <row r="4331">
          <cell r="A4331" t="str">
            <v>N225-0000</v>
          </cell>
          <cell r="B4331" t="str">
            <v>Easy Book P8 1GHz 256MB 40GB HDD WIN XP</v>
          </cell>
          <cell r="C4331">
            <v>0</v>
          </cell>
          <cell r="D4331">
            <v>1098</v>
          </cell>
        </row>
        <row r="4332">
          <cell r="A4332" t="str">
            <v>N227-0001</v>
          </cell>
          <cell r="B4332" t="str">
            <v>SlimBook D220 schwarz, 1.83GHz/2GB RAM/160GB HDD</v>
          </cell>
          <cell r="C4332">
            <v>0</v>
          </cell>
          <cell r="D4332">
            <v>1806</v>
          </cell>
        </row>
        <row r="4333">
          <cell r="A4333" t="str">
            <v>N227-0030</v>
          </cell>
          <cell r="B4333" t="str">
            <v>SlimBook P210 schwarz, 1.06GHz/1GB RAM/160GB HDD</v>
          </cell>
          <cell r="C4333">
            <v>0</v>
          </cell>
          <cell r="D4333">
            <v>1424</v>
          </cell>
        </row>
        <row r="4334">
          <cell r="A4334" t="str">
            <v>N227-0033</v>
          </cell>
          <cell r="B4334" t="str">
            <v>SlimBook P210 schwarz, 1.20GHz/1GB RAM/160GB HDD</v>
          </cell>
          <cell r="C4334">
            <v>0</v>
          </cell>
          <cell r="D4334">
            <v>1476</v>
          </cell>
        </row>
        <row r="4335">
          <cell r="A4335" t="str">
            <v>N403-0003</v>
          </cell>
          <cell r="B4335" t="str">
            <v>512 MB anstatt 256MB DDR-RAM (für P8)</v>
          </cell>
          <cell r="C4335">
            <v>0</v>
          </cell>
          <cell r="D4335">
            <v>65</v>
          </cell>
        </row>
        <row r="4336">
          <cell r="A4336" t="str">
            <v>N403-0004</v>
          </cell>
          <cell r="B4336" t="str">
            <v>Tulip SlimBook Aufpreis 1 GB anstelle 256MB DDR-RA</v>
          </cell>
          <cell r="C4336">
            <v>0</v>
          </cell>
          <cell r="D4336">
            <v>138</v>
          </cell>
        </row>
        <row r="4337">
          <cell r="A4337" t="str">
            <v>N404-0005D1</v>
          </cell>
          <cell r="B4337" t="str">
            <v>Upgrade auf 3 GB RAM</v>
          </cell>
          <cell r="C4337">
            <v>0</v>
          </cell>
          <cell r="D4337">
            <v>71</v>
          </cell>
        </row>
        <row r="4338">
          <cell r="A4338" t="str">
            <v>N404-0005D2</v>
          </cell>
          <cell r="B4338" t="str">
            <v>Upgrade auf 4 GB RAM</v>
          </cell>
          <cell r="C4338">
            <v>0</v>
          </cell>
          <cell r="D4338">
            <v>141</v>
          </cell>
        </row>
        <row r="4339">
          <cell r="A4339" t="str">
            <v>N404-0005P1</v>
          </cell>
          <cell r="B4339" t="str">
            <v>Upgrade auf 2,5 GB RAM</v>
          </cell>
          <cell r="C4339">
            <v>0</v>
          </cell>
          <cell r="D4339">
            <v>86</v>
          </cell>
        </row>
        <row r="4340">
          <cell r="A4340" t="str">
            <v>N502-0009</v>
          </cell>
          <cell r="B4340" t="str">
            <v>Tulip SlimBook - Festplatte 80GB</v>
          </cell>
          <cell r="C4340">
            <v>0</v>
          </cell>
          <cell r="D4340">
            <v>69</v>
          </cell>
        </row>
        <row r="4341">
          <cell r="A4341" t="str">
            <v>N502-0010</v>
          </cell>
          <cell r="B4341" t="str">
            <v>Tulip SlimBook - Festplatte 12GB</v>
          </cell>
          <cell r="C4341">
            <v>0</v>
          </cell>
          <cell r="D4341">
            <v>93</v>
          </cell>
        </row>
        <row r="4342">
          <cell r="A4342" t="str">
            <v>N503-0006</v>
          </cell>
          <cell r="B4342" t="str">
            <v>Upgrade Festplatte auf 250GB</v>
          </cell>
          <cell r="C4342">
            <v>0</v>
          </cell>
          <cell r="D4342">
            <v>60</v>
          </cell>
        </row>
        <row r="4343">
          <cell r="A4343" t="str">
            <v>N505-0005</v>
          </cell>
          <cell r="B4343" t="str">
            <v>Upgrade auf Flash Speicher (SSD) 32GB</v>
          </cell>
          <cell r="C4343">
            <v>0</v>
          </cell>
          <cell r="D4343">
            <v>401</v>
          </cell>
        </row>
        <row r="4344">
          <cell r="A4344" t="str">
            <v>N719-0005</v>
          </cell>
          <cell r="B4344" t="str">
            <v>Tulip SlimBook Präsentation Stand</v>
          </cell>
          <cell r="C4344">
            <v>0</v>
          </cell>
          <cell r="D4344">
            <v>14</v>
          </cell>
        </row>
        <row r="4345">
          <cell r="A4345" t="str">
            <v>N720-0001</v>
          </cell>
          <cell r="B4345" t="str">
            <v>Tulip SlimBook Docking Station</v>
          </cell>
          <cell r="C4345">
            <v>0</v>
          </cell>
          <cell r="D4345">
            <v>263</v>
          </cell>
        </row>
        <row r="4346">
          <cell r="A4346" t="str">
            <v>N720-0002</v>
          </cell>
          <cell r="B4346" t="str">
            <v>Tulip SlimBook DVD-ROM im externen Gehäuse</v>
          </cell>
          <cell r="C4346">
            <v>0</v>
          </cell>
          <cell r="D4346">
            <v>128</v>
          </cell>
        </row>
        <row r="4347">
          <cell r="A4347" t="str">
            <v>N720-0003</v>
          </cell>
          <cell r="B4347" t="str">
            <v>CD-RW/DVD Combo Laufw. ext. Gehäuse mobile</v>
          </cell>
          <cell r="C4347">
            <v>0</v>
          </cell>
          <cell r="D4347">
            <v>161</v>
          </cell>
        </row>
        <row r="4348">
          <cell r="A4348" t="str">
            <v>N720-0008</v>
          </cell>
          <cell r="B4348" t="str">
            <v>Netzteil (mit Stromkabel)</v>
          </cell>
          <cell r="C4348">
            <v>0</v>
          </cell>
          <cell r="D4348">
            <v>24</v>
          </cell>
        </row>
        <row r="4349">
          <cell r="A4349" t="str">
            <v>N720-0018</v>
          </cell>
          <cell r="B4349" t="str">
            <v>Externes Akku Ladegerät für 110/120er Serie</v>
          </cell>
          <cell r="C4349">
            <v>0</v>
          </cell>
          <cell r="D4349">
            <v>86</v>
          </cell>
        </row>
        <row r="4350">
          <cell r="A4350" t="str">
            <v>N720-0019</v>
          </cell>
          <cell r="B4350" t="str">
            <v>Tulip SlimBook Wandhalterung Plus</v>
          </cell>
          <cell r="C4350">
            <v>0</v>
          </cell>
          <cell r="D4350">
            <v>85</v>
          </cell>
        </row>
        <row r="4351">
          <cell r="A4351" t="str">
            <v>N721-0001</v>
          </cell>
          <cell r="B4351" t="str">
            <v>Stylus (für P100 und P110&amp;P120)</v>
          </cell>
          <cell r="C4351">
            <v>0</v>
          </cell>
          <cell r="D4351">
            <v>2.5</v>
          </cell>
        </row>
        <row r="4352">
          <cell r="A4352" t="str">
            <v>N727-0001</v>
          </cell>
          <cell r="B4352" t="str">
            <v>Netzteil (mit Stromkabel)</v>
          </cell>
          <cell r="C4352">
            <v>0</v>
          </cell>
          <cell r="D4352">
            <v>24</v>
          </cell>
        </row>
        <row r="4353">
          <cell r="A4353" t="str">
            <v>N727-0002</v>
          </cell>
          <cell r="B4353" t="str">
            <v>Akku Li-Ion Schwarz</v>
          </cell>
          <cell r="C4353">
            <v>0</v>
          </cell>
          <cell r="D4353">
            <v>88</v>
          </cell>
        </row>
        <row r="4354">
          <cell r="A4354" t="str">
            <v>N727-0010</v>
          </cell>
          <cell r="B4354" t="str">
            <v>Office  Docking Station</v>
          </cell>
          <cell r="C4354">
            <v>0</v>
          </cell>
          <cell r="D4354">
            <v>114</v>
          </cell>
        </row>
        <row r="4355">
          <cell r="A4355" t="str">
            <v>N727-0012</v>
          </cell>
          <cell r="B4355" t="str">
            <v>Vesa Wandhalterung mit AC-in, 4x USB, VGA, LAN</v>
          </cell>
          <cell r="C4355">
            <v>0</v>
          </cell>
          <cell r="D4355">
            <v>96</v>
          </cell>
        </row>
        <row r="4356">
          <cell r="A4356" t="str">
            <v>N727-0020</v>
          </cell>
          <cell r="B4356" t="str">
            <v>Schutztasche (stoßgeschützt)</v>
          </cell>
          <cell r="C4356">
            <v>0</v>
          </cell>
          <cell r="D4356">
            <v>195</v>
          </cell>
        </row>
        <row r="4357">
          <cell r="A4357" t="str">
            <v>N727-0021</v>
          </cell>
          <cell r="B4357" t="str">
            <v>Schutzhülle mit Tragegurt und Bildschirmschutz</v>
          </cell>
          <cell r="C4357">
            <v>0</v>
          </cell>
          <cell r="D4357">
            <v>54</v>
          </cell>
        </row>
        <row r="4358">
          <cell r="A4358" t="str">
            <v>N727-0031</v>
          </cell>
          <cell r="B4358" t="str">
            <v>Stylus (für P210)</v>
          </cell>
          <cell r="C4358">
            <v>0</v>
          </cell>
          <cell r="D4358">
            <v>2.5</v>
          </cell>
        </row>
        <row r="4359">
          <cell r="A4359" t="str">
            <v>N727-0110</v>
          </cell>
          <cell r="B4359" t="str">
            <v>3er Pack, entsp. Schutzfolie f. 12.1" Touchscreen</v>
          </cell>
          <cell r="C4359">
            <v>0</v>
          </cell>
          <cell r="D4359">
            <v>26</v>
          </cell>
        </row>
        <row r="4360">
          <cell r="A4360" t="str">
            <v>N734-0030</v>
          </cell>
          <cell r="B4360" t="str">
            <v>Schutztasche Handsfree-Bag 240</v>
          </cell>
          <cell r="C4360">
            <v>0</v>
          </cell>
          <cell r="D4360">
            <v>54</v>
          </cell>
        </row>
        <row r="4361">
          <cell r="A4361" t="str">
            <v>N803-0002</v>
          </cell>
          <cell r="B4361" t="str">
            <v>Garantieverlängerung auf 3 Jahre</v>
          </cell>
          <cell r="C4361">
            <v>0</v>
          </cell>
          <cell r="D4361">
            <v>75</v>
          </cell>
        </row>
        <row r="4362">
          <cell r="A4362" t="str">
            <v>PANA.CEIA</v>
          </cell>
          <cell r="B4362" t="str">
            <v>MCD Medical Line PANA.ceia</v>
          </cell>
          <cell r="C4362">
            <v>0</v>
          </cell>
          <cell r="D4362">
            <v>0</v>
          </cell>
        </row>
        <row r="4363">
          <cell r="A4363" t="str">
            <v>PMI00102_J</v>
          </cell>
          <cell r="B4363" t="str">
            <v>Herstellanweisung 20205602-1</v>
          </cell>
          <cell r="C4363">
            <v>-4</v>
          </cell>
          <cell r="D4363">
            <v>0</v>
          </cell>
        </row>
        <row r="4364">
          <cell r="A4364" t="str">
            <v>PMI00102_K</v>
          </cell>
          <cell r="B4364" t="str">
            <v>Herstellanweisung 20205502-1</v>
          </cell>
          <cell r="C4364">
            <v>0</v>
          </cell>
          <cell r="D4364">
            <v>0</v>
          </cell>
        </row>
        <row r="4365">
          <cell r="A4365" t="str">
            <v>PMI00102_L</v>
          </cell>
          <cell r="B4365" t="str">
            <v>Herstellanweisung 20205502-1</v>
          </cell>
          <cell r="C4365">
            <v>-16</v>
          </cell>
          <cell r="D4365">
            <v>0</v>
          </cell>
        </row>
        <row r="4366">
          <cell r="A4366" t="str">
            <v>PMI00102_N</v>
          </cell>
          <cell r="B4366" t="str">
            <v>Herstellanweisung 20205502-1</v>
          </cell>
          <cell r="C4366">
            <v>0</v>
          </cell>
          <cell r="D4366">
            <v>0</v>
          </cell>
        </row>
        <row r="4367">
          <cell r="A4367" t="str">
            <v>PMI00102_P</v>
          </cell>
          <cell r="B4367" t="str">
            <v>Herstellanweisung 20205602-1</v>
          </cell>
          <cell r="C4367">
            <v>0</v>
          </cell>
          <cell r="D4367">
            <v>0</v>
          </cell>
        </row>
        <row r="4368">
          <cell r="A4368" t="str">
            <v>PMI00102_S</v>
          </cell>
          <cell r="B4368" t="str">
            <v>Herstellanweisung 20205602-1</v>
          </cell>
          <cell r="C4368">
            <v>-4</v>
          </cell>
          <cell r="D4368">
            <v>0</v>
          </cell>
        </row>
        <row r="4369">
          <cell r="A4369" t="str">
            <v>PMI00102_T</v>
          </cell>
          <cell r="B4369" t="str">
            <v>Herstellanweisung 20205602-1</v>
          </cell>
          <cell r="C4369">
            <v>0</v>
          </cell>
          <cell r="D4369">
            <v>0</v>
          </cell>
        </row>
        <row r="4370">
          <cell r="A4370" t="str">
            <v>PMI00102_U</v>
          </cell>
          <cell r="B4370" t="str">
            <v>Herstellanweisung 20205602-1</v>
          </cell>
          <cell r="C4370">
            <v>-21</v>
          </cell>
          <cell r="D4370">
            <v>0</v>
          </cell>
        </row>
        <row r="4371">
          <cell r="A4371" t="str">
            <v>PMI00104_AA</v>
          </cell>
          <cell r="B4371" t="str">
            <v>Herstellanweisung 20205601-140</v>
          </cell>
          <cell r="C4371">
            <v>-129</v>
          </cell>
          <cell r="D4371">
            <v>0</v>
          </cell>
        </row>
        <row r="4372">
          <cell r="A4372" t="str">
            <v>PMI00104_AB</v>
          </cell>
          <cell r="B4372" t="str">
            <v>Herstellanweisung 20205601-140</v>
          </cell>
          <cell r="C4372">
            <v>-98</v>
          </cell>
          <cell r="D4372">
            <v>0</v>
          </cell>
        </row>
        <row r="4373">
          <cell r="A4373" t="str">
            <v>PMI00104_AC</v>
          </cell>
          <cell r="B4373" t="str">
            <v>Herstellanweisung 20205601-140</v>
          </cell>
          <cell r="C4373">
            <v>-94</v>
          </cell>
          <cell r="D4373">
            <v>0</v>
          </cell>
        </row>
        <row r="4374">
          <cell r="A4374" t="str">
            <v>PMI00104_AD</v>
          </cell>
          <cell r="B4374" t="str">
            <v>Herstellanweisung 20205601-140</v>
          </cell>
          <cell r="C4374">
            <v>-42</v>
          </cell>
          <cell r="D4374">
            <v>0</v>
          </cell>
        </row>
        <row r="4375">
          <cell r="A4375" t="str">
            <v>PMI00104_AE</v>
          </cell>
          <cell r="B4375" t="str">
            <v>Herstellanweisung 20205601-140</v>
          </cell>
          <cell r="C4375">
            <v>-287</v>
          </cell>
          <cell r="D4375">
            <v>0</v>
          </cell>
        </row>
        <row r="4376">
          <cell r="A4376" t="str">
            <v>PMI00104_AF</v>
          </cell>
          <cell r="B4376" t="str">
            <v>Herstellanweisung 20205601-140</v>
          </cell>
          <cell r="C4376">
            <v>-34</v>
          </cell>
          <cell r="D4376">
            <v>0</v>
          </cell>
        </row>
        <row r="4377">
          <cell r="A4377" t="str">
            <v>PMI00104_AG</v>
          </cell>
          <cell r="B4377" t="str">
            <v>Herstellanweisung 20205601-140</v>
          </cell>
          <cell r="C4377">
            <v>-566</v>
          </cell>
          <cell r="D4377">
            <v>0</v>
          </cell>
        </row>
        <row r="4378">
          <cell r="A4378" t="str">
            <v>PMI00104_P</v>
          </cell>
          <cell r="B4378" t="str">
            <v>Herstellanweisung 20205601-140</v>
          </cell>
          <cell r="C4378">
            <v>-27</v>
          </cell>
          <cell r="D4378">
            <v>0</v>
          </cell>
        </row>
        <row r="4379">
          <cell r="A4379" t="str">
            <v>PMI00104_Q</v>
          </cell>
          <cell r="B4379" t="str">
            <v>Herstellanweisung 20205501-140</v>
          </cell>
          <cell r="C4379">
            <v>-100</v>
          </cell>
          <cell r="D4379">
            <v>0</v>
          </cell>
        </row>
        <row r="4380">
          <cell r="A4380" t="str">
            <v>PMI00104_R</v>
          </cell>
          <cell r="B4380" t="str">
            <v>Herstellanweisung 20205501-140</v>
          </cell>
          <cell r="C4380">
            <v>-35</v>
          </cell>
          <cell r="D4380">
            <v>0</v>
          </cell>
        </row>
        <row r="4381">
          <cell r="A4381" t="str">
            <v>PMI00104_S</v>
          </cell>
          <cell r="B4381" t="str">
            <v>Herstellanweisung 20205501-140</v>
          </cell>
          <cell r="C4381">
            <v>-35</v>
          </cell>
          <cell r="D4381">
            <v>0</v>
          </cell>
        </row>
        <row r="4382">
          <cell r="A4382" t="str">
            <v>PMI00104_T</v>
          </cell>
          <cell r="B4382" t="str">
            <v>Herstellanweisung 20205501-140</v>
          </cell>
          <cell r="C4382">
            <v>0</v>
          </cell>
          <cell r="D4382">
            <v>0</v>
          </cell>
        </row>
        <row r="4383">
          <cell r="A4383" t="str">
            <v>PMI00104_U</v>
          </cell>
          <cell r="B4383" t="str">
            <v>Herstellanweisung 20205501-140</v>
          </cell>
          <cell r="C4383">
            <v>-175</v>
          </cell>
          <cell r="D4383">
            <v>0</v>
          </cell>
        </row>
        <row r="4384">
          <cell r="A4384" t="str">
            <v>PMI00104_V</v>
          </cell>
          <cell r="B4384" t="str">
            <v>Herstellanweisung 20205501-140</v>
          </cell>
          <cell r="C4384">
            <v>-41</v>
          </cell>
          <cell r="D4384">
            <v>0</v>
          </cell>
        </row>
        <row r="4385">
          <cell r="A4385" t="str">
            <v>PMI00104_W</v>
          </cell>
          <cell r="B4385" t="str">
            <v>Herstellanweisung 20205501-140</v>
          </cell>
          <cell r="C4385">
            <v>-14</v>
          </cell>
          <cell r="D4385">
            <v>0</v>
          </cell>
        </row>
        <row r="4386">
          <cell r="A4386" t="str">
            <v>PMI00104_X</v>
          </cell>
          <cell r="B4386" t="str">
            <v>Herstellanweisung 20205501-140</v>
          </cell>
          <cell r="C4386">
            <v>-88</v>
          </cell>
          <cell r="D4386">
            <v>0</v>
          </cell>
        </row>
        <row r="4387">
          <cell r="A4387" t="str">
            <v>PMI00104_Y</v>
          </cell>
          <cell r="B4387" t="str">
            <v>Herstellanweisung 20205501-140</v>
          </cell>
          <cell r="C4387">
            <v>-77</v>
          </cell>
          <cell r="D4387">
            <v>0</v>
          </cell>
        </row>
        <row r="4388">
          <cell r="A4388" t="str">
            <v>PMI00104_Z</v>
          </cell>
          <cell r="B4388" t="str">
            <v>Herstellanweisung 20205601-140</v>
          </cell>
          <cell r="C4388">
            <v>-227</v>
          </cell>
          <cell r="D4388">
            <v>0</v>
          </cell>
        </row>
        <row r="4389">
          <cell r="A4389" t="str">
            <v>PMI00105_B</v>
          </cell>
          <cell r="B4389" t="str">
            <v>Herstellanweisung MCD Medical Line VEIO.vis</v>
          </cell>
          <cell r="C4389">
            <v>-4</v>
          </cell>
          <cell r="D4389">
            <v>0</v>
          </cell>
        </row>
        <row r="4390">
          <cell r="A4390" t="str">
            <v>PMI00105_C</v>
          </cell>
          <cell r="B4390" t="str">
            <v>Herstellanweisung MCD Medical Line VEIO.vis</v>
          </cell>
          <cell r="C4390">
            <v>-8</v>
          </cell>
          <cell r="D4390">
            <v>0</v>
          </cell>
        </row>
        <row r="4391">
          <cell r="A4391" t="str">
            <v>PMI00106_A</v>
          </cell>
          <cell r="B4391" t="str">
            <v>Herstellanweisung MCD Medical Line PANA.ceia</v>
          </cell>
          <cell r="C4391">
            <v>0</v>
          </cell>
          <cell r="D4391">
            <v>0</v>
          </cell>
        </row>
        <row r="4392">
          <cell r="A4392" t="str">
            <v>PMI00106_B</v>
          </cell>
          <cell r="B4392" t="str">
            <v>Herstellanweisung MCD Medical Line PANA.ceia</v>
          </cell>
          <cell r="C4392">
            <v>-16</v>
          </cell>
          <cell r="D4392">
            <v>0</v>
          </cell>
        </row>
        <row r="4393">
          <cell r="A4393" t="str">
            <v>PMI00106_C</v>
          </cell>
          <cell r="B4393" t="str">
            <v>Herstellanweisung MCD Medical Line PANA.ceia</v>
          </cell>
          <cell r="C4393">
            <v>-159</v>
          </cell>
          <cell r="D4393">
            <v>0</v>
          </cell>
        </row>
        <row r="4394">
          <cell r="A4394" t="str">
            <v>PMI00106_D</v>
          </cell>
          <cell r="B4394" t="str">
            <v>Herstellanweisung MCD Medical Line PANA.ceia</v>
          </cell>
          <cell r="C4394">
            <v>-14</v>
          </cell>
          <cell r="D4394">
            <v>0</v>
          </cell>
        </row>
        <row r="4395">
          <cell r="A4395" t="str">
            <v>PMI00114_G</v>
          </cell>
          <cell r="B4395" t="str">
            <v>Herstellanweisung PC HistoScanning</v>
          </cell>
          <cell r="C4395">
            <v>0</v>
          </cell>
          <cell r="D4395">
            <v>0</v>
          </cell>
        </row>
        <row r="4396">
          <cell r="A4396" t="str">
            <v>PMI00114_H</v>
          </cell>
          <cell r="B4396" t="str">
            <v>Herstellanweisung PC HistoScanning</v>
          </cell>
          <cell r="C4396">
            <v>-16</v>
          </cell>
          <cell r="D4396">
            <v>0</v>
          </cell>
        </row>
        <row r="4397">
          <cell r="A4397" t="str">
            <v>PMI00115_G</v>
          </cell>
          <cell r="B4397" t="str">
            <v>Herstellanweisung Cart HistoScanning</v>
          </cell>
          <cell r="C4397">
            <v>0</v>
          </cell>
          <cell r="D4397">
            <v>0</v>
          </cell>
        </row>
        <row r="4398">
          <cell r="A4398" t="str">
            <v>PMI00115_H</v>
          </cell>
          <cell r="B4398" t="str">
            <v>Herstellanweisung Cart HistoScanning</v>
          </cell>
          <cell r="C4398">
            <v>0</v>
          </cell>
          <cell r="D4398">
            <v>0</v>
          </cell>
        </row>
        <row r="4399">
          <cell r="A4399" t="str">
            <v>PMI00116_D</v>
          </cell>
          <cell r="B4399" t="str">
            <v>Herstellanweisung Power Adapter UL</v>
          </cell>
          <cell r="C4399">
            <v>-8</v>
          </cell>
          <cell r="D4399">
            <v>0</v>
          </cell>
        </row>
        <row r="4400">
          <cell r="A4400" t="str">
            <v>PMI00118_E</v>
          </cell>
          <cell r="B4400" t="str">
            <v>Herstellanweisung Cellvizio Control MKT</v>
          </cell>
          <cell r="C4400">
            <v>0</v>
          </cell>
          <cell r="D4400">
            <v>0</v>
          </cell>
        </row>
        <row r="4401">
          <cell r="A4401" t="str">
            <v>PMI00118_F</v>
          </cell>
          <cell r="B4401" t="str">
            <v>Herstellanweisung Cellvizio Control MKT</v>
          </cell>
          <cell r="C4401">
            <v>-50</v>
          </cell>
          <cell r="D4401">
            <v>0</v>
          </cell>
        </row>
        <row r="4402">
          <cell r="A4402" t="str">
            <v>PMI00118_G</v>
          </cell>
          <cell r="B4402" t="str">
            <v>Herstellanweisung Cellvizio Control MKT</v>
          </cell>
          <cell r="C4402">
            <v>-42</v>
          </cell>
          <cell r="D4402">
            <v>0</v>
          </cell>
        </row>
        <row r="4403">
          <cell r="A4403" t="str">
            <v>PMI00118_I</v>
          </cell>
          <cell r="B4403" t="str">
            <v>Herstellanweisung Cellvizio Control MKT</v>
          </cell>
          <cell r="C4403">
            <v>-20</v>
          </cell>
          <cell r="D4403">
            <v>0</v>
          </cell>
        </row>
        <row r="4404">
          <cell r="A4404" t="str">
            <v>PMI00118_J</v>
          </cell>
          <cell r="B4404" t="str">
            <v>Herstellanweisung Cellvizio Control MKT</v>
          </cell>
          <cell r="C4404">
            <v>-12</v>
          </cell>
          <cell r="D4404">
            <v>0</v>
          </cell>
        </row>
        <row r="4405">
          <cell r="A4405" t="str">
            <v>PMI00118_K</v>
          </cell>
          <cell r="B4405" t="str">
            <v>Herstellanweisung Cellvizio Control MKT</v>
          </cell>
          <cell r="C4405">
            <v>-28</v>
          </cell>
          <cell r="D4405">
            <v>0</v>
          </cell>
        </row>
        <row r="4406">
          <cell r="A4406" t="str">
            <v>PMI00122_B</v>
          </cell>
          <cell r="B4406" t="str">
            <v>Herstellanweisung Distibuted Medical</v>
          </cell>
          <cell r="C4406">
            <v>0</v>
          </cell>
          <cell r="D4406">
            <v>0</v>
          </cell>
        </row>
        <row r="4407">
          <cell r="A4407" t="str">
            <v>PMI00122_C</v>
          </cell>
          <cell r="B4407" t="str">
            <v>Herstellanweisung Distibuted Medical</v>
          </cell>
          <cell r="C4407">
            <v>-10</v>
          </cell>
          <cell r="D4407">
            <v>0</v>
          </cell>
        </row>
        <row r="4408">
          <cell r="A4408" t="str">
            <v>PMI00122_D</v>
          </cell>
          <cell r="B4408" t="str">
            <v>Herstellanweisung Distibuted Medical</v>
          </cell>
          <cell r="C4408">
            <v>0</v>
          </cell>
          <cell r="D4408">
            <v>0</v>
          </cell>
        </row>
        <row r="4409">
          <cell r="A4409" t="str">
            <v>PMI00123_A</v>
          </cell>
          <cell r="B4409" t="str">
            <v>Herstellanweisung 20050020</v>
          </cell>
          <cell r="C4409">
            <v>0</v>
          </cell>
          <cell r="D4409">
            <v>0</v>
          </cell>
        </row>
        <row r="4410">
          <cell r="A4410" t="str">
            <v>PMI00123_B</v>
          </cell>
          <cell r="B4410" t="str">
            <v>Herstellanweisung 20050020</v>
          </cell>
          <cell r="C4410">
            <v>0</v>
          </cell>
          <cell r="D4410">
            <v>0</v>
          </cell>
        </row>
        <row r="4411">
          <cell r="A4411" t="str">
            <v>PMI00124_H</v>
          </cell>
          <cell r="B4411" t="str">
            <v>Herstellanweisung 20046120-D</v>
          </cell>
          <cell r="C4411">
            <v>-240</v>
          </cell>
          <cell r="D4411">
            <v>0</v>
          </cell>
        </row>
        <row r="4412">
          <cell r="A4412" t="str">
            <v>PMI00124_I</v>
          </cell>
          <cell r="B4412" t="str">
            <v>Herstellanweisung 20046120-D</v>
          </cell>
          <cell r="C4412">
            <v>-200</v>
          </cell>
          <cell r="D4412">
            <v>0</v>
          </cell>
        </row>
        <row r="4413">
          <cell r="A4413" t="str">
            <v>PMI00124_J</v>
          </cell>
          <cell r="B4413" t="str">
            <v>Herstellanweisung 20046120-D</v>
          </cell>
          <cell r="C4413">
            <v>-192</v>
          </cell>
          <cell r="D4413">
            <v>0</v>
          </cell>
        </row>
        <row r="4414">
          <cell r="A4414" t="str">
            <v>PMI00124_K</v>
          </cell>
          <cell r="B4414" t="str">
            <v>Herstellanweisung 20046120-D</v>
          </cell>
          <cell r="C4414">
            <v>-1025</v>
          </cell>
          <cell r="D4414">
            <v>0</v>
          </cell>
        </row>
        <row r="4415">
          <cell r="A4415" t="str">
            <v>PMI00124_L</v>
          </cell>
          <cell r="B4415" t="str">
            <v>Herstellanweisung 20046120-D</v>
          </cell>
          <cell r="C4415">
            <v>-200</v>
          </cell>
          <cell r="D4415">
            <v>0</v>
          </cell>
        </row>
        <row r="4416">
          <cell r="A4416" t="str">
            <v>PMI00124_M</v>
          </cell>
          <cell r="B4416" t="str">
            <v>Herstellanweisung 20046120-D</v>
          </cell>
          <cell r="C4416">
            <v>-180</v>
          </cell>
          <cell r="D4416">
            <v>0</v>
          </cell>
        </row>
        <row r="4417">
          <cell r="A4417" t="str">
            <v>PMI00124_N</v>
          </cell>
          <cell r="B4417" t="str">
            <v>Herstellanweisung 20046120-D</v>
          </cell>
          <cell r="C4417">
            <v>-20</v>
          </cell>
          <cell r="D4417">
            <v>0</v>
          </cell>
        </row>
        <row r="4418">
          <cell r="A4418" t="str">
            <v>PMI00124_O</v>
          </cell>
          <cell r="B4418" t="str">
            <v>Herstellanweisung 20046120-D</v>
          </cell>
          <cell r="C4418">
            <v>-332</v>
          </cell>
          <cell r="D4418">
            <v>0</v>
          </cell>
        </row>
        <row r="4419">
          <cell r="A4419" t="str">
            <v>PMI00124_P</v>
          </cell>
          <cell r="B4419" t="str">
            <v>Herstellanweisung 20046120-D</v>
          </cell>
          <cell r="C4419">
            <v>-358</v>
          </cell>
          <cell r="D4419">
            <v>0</v>
          </cell>
        </row>
        <row r="4420">
          <cell r="A4420" t="str">
            <v>PMI00129_D</v>
          </cell>
          <cell r="B4420" t="str">
            <v>Herstellanweisung 20205701-140</v>
          </cell>
          <cell r="C4420">
            <v>0</v>
          </cell>
          <cell r="D4420">
            <v>0</v>
          </cell>
        </row>
        <row r="4421">
          <cell r="A4421" t="str">
            <v>PMI00129_F</v>
          </cell>
          <cell r="B4421" t="str">
            <v>Herstellanweisung 20205701-140</v>
          </cell>
          <cell r="C4421">
            <v>0</v>
          </cell>
          <cell r="D4421">
            <v>0</v>
          </cell>
        </row>
        <row r="4422">
          <cell r="A4422" t="str">
            <v>PMI00129_G</v>
          </cell>
          <cell r="B4422" t="str">
            <v>Herstellanweisung 20205701-140</v>
          </cell>
          <cell r="C4422">
            <v>0</v>
          </cell>
          <cell r="D4422">
            <v>0</v>
          </cell>
        </row>
        <row r="4423">
          <cell r="A4423" t="str">
            <v>PMI00129_K</v>
          </cell>
          <cell r="B4423" t="str">
            <v>Herstellanweisung 20205701-140</v>
          </cell>
          <cell r="C4423">
            <v>0</v>
          </cell>
          <cell r="D4423">
            <v>0</v>
          </cell>
        </row>
        <row r="4424">
          <cell r="A4424" t="str">
            <v>PMI00129_L</v>
          </cell>
          <cell r="B4424" t="str">
            <v>Herstellanweisung 20205701-140</v>
          </cell>
          <cell r="C4424">
            <v>0</v>
          </cell>
          <cell r="D4424">
            <v>0</v>
          </cell>
        </row>
        <row r="4425">
          <cell r="A4425" t="str">
            <v>PMI00129_M</v>
          </cell>
          <cell r="B4425" t="str">
            <v>Herstellanweisung 20205701-140</v>
          </cell>
          <cell r="C4425">
            <v>0</v>
          </cell>
          <cell r="D4425">
            <v>0</v>
          </cell>
        </row>
        <row r="4426">
          <cell r="A4426" t="str">
            <v>PMI00129_N</v>
          </cell>
          <cell r="B4426" t="str">
            <v>Herstellanweisung 20205701-140</v>
          </cell>
          <cell r="C4426">
            <v>0</v>
          </cell>
          <cell r="D4426">
            <v>0</v>
          </cell>
        </row>
        <row r="4427">
          <cell r="A4427" t="str">
            <v>PMI00129_O</v>
          </cell>
          <cell r="B4427" t="str">
            <v>Herstellanweisung 20205701-140</v>
          </cell>
          <cell r="C4427">
            <v>0</v>
          </cell>
          <cell r="D4427">
            <v>0</v>
          </cell>
        </row>
        <row r="4428">
          <cell r="A4428" t="str">
            <v>PMI00129_P</v>
          </cell>
          <cell r="B4428" t="str">
            <v>Herstellanweisung 20205701-140</v>
          </cell>
          <cell r="C4428">
            <v>0</v>
          </cell>
          <cell r="D4428">
            <v>0</v>
          </cell>
        </row>
        <row r="4429">
          <cell r="A4429" t="str">
            <v>PMI00129_Q</v>
          </cell>
          <cell r="B4429" t="str">
            <v>Herstellanweisung 20205701-140</v>
          </cell>
          <cell r="C4429">
            <v>0</v>
          </cell>
          <cell r="D4429">
            <v>0</v>
          </cell>
        </row>
        <row r="4430">
          <cell r="A4430" t="str">
            <v>PMI00129_R</v>
          </cell>
          <cell r="B4430" t="str">
            <v>Herstellanweisung 20205701-140</v>
          </cell>
          <cell r="C4430">
            <v>0</v>
          </cell>
          <cell r="D4430">
            <v>0</v>
          </cell>
        </row>
        <row r="4431">
          <cell r="A4431" t="str">
            <v>PMI00130_D</v>
          </cell>
          <cell r="B4431" t="str">
            <v>Herstellanweisung 20205702-1</v>
          </cell>
          <cell r="C4431">
            <v>-1</v>
          </cell>
          <cell r="D4431">
            <v>0</v>
          </cell>
        </row>
        <row r="4432">
          <cell r="A4432" t="str">
            <v>PMI00130_F</v>
          </cell>
          <cell r="B4432" t="str">
            <v>Herstellanweisung 20205702-1</v>
          </cell>
          <cell r="C4432">
            <v>0</v>
          </cell>
          <cell r="D4432">
            <v>0</v>
          </cell>
        </row>
        <row r="4433">
          <cell r="A4433" t="str">
            <v>PMI00130_G</v>
          </cell>
          <cell r="B4433" t="str">
            <v>Herstellanweisung 20205702-1</v>
          </cell>
          <cell r="C4433">
            <v>0</v>
          </cell>
          <cell r="D4433">
            <v>0</v>
          </cell>
        </row>
        <row r="4434">
          <cell r="A4434" t="str">
            <v>PMI00130_K</v>
          </cell>
          <cell r="B4434" t="str">
            <v>Herstellanweisung 20205702-1</v>
          </cell>
          <cell r="C4434">
            <v>0</v>
          </cell>
          <cell r="D4434">
            <v>0</v>
          </cell>
        </row>
        <row r="4435">
          <cell r="A4435" t="str">
            <v>PMI00130_L</v>
          </cell>
          <cell r="B4435" t="str">
            <v>Herstellanweisung 20205702-1</v>
          </cell>
          <cell r="C4435">
            <v>0</v>
          </cell>
          <cell r="D4435">
            <v>0</v>
          </cell>
        </row>
        <row r="4436">
          <cell r="A4436" t="str">
            <v>PMI00131_A</v>
          </cell>
          <cell r="B4436" t="str">
            <v>Herstellanweisung 20048020</v>
          </cell>
          <cell r="C4436">
            <v>-30</v>
          </cell>
          <cell r="D4436">
            <v>0</v>
          </cell>
        </row>
        <row r="4437">
          <cell r="A4437" t="str">
            <v>PMI00132_B</v>
          </cell>
          <cell r="B4437" t="str">
            <v>Herstellanweisung 20097120-1C</v>
          </cell>
          <cell r="C4437">
            <v>-110</v>
          </cell>
          <cell r="D4437">
            <v>0</v>
          </cell>
        </row>
        <row r="4438">
          <cell r="A4438" t="str">
            <v>PMI00132_C</v>
          </cell>
          <cell r="B4438" t="str">
            <v>Herstellanweisung 20097120-1C</v>
          </cell>
          <cell r="C4438">
            <v>-137</v>
          </cell>
          <cell r="D4438">
            <v>0</v>
          </cell>
        </row>
        <row r="4439">
          <cell r="A4439" t="str">
            <v>PMI00132_D</v>
          </cell>
          <cell r="B4439" t="str">
            <v>Herstellanweisung 20097120-1C</v>
          </cell>
          <cell r="C4439">
            <v>-32</v>
          </cell>
          <cell r="D4439">
            <v>0</v>
          </cell>
        </row>
        <row r="4440">
          <cell r="A4440" t="str">
            <v>PMI00132_E</v>
          </cell>
          <cell r="B4440" t="str">
            <v>Herstellanweisung 20097120-1C</v>
          </cell>
          <cell r="C4440">
            <v>-203</v>
          </cell>
          <cell r="D4440">
            <v>0</v>
          </cell>
        </row>
        <row r="4441">
          <cell r="A4441" t="str">
            <v>PMI00132_F</v>
          </cell>
          <cell r="B4441" t="str">
            <v>Herstellanweisung 20097120-1C</v>
          </cell>
          <cell r="C4441">
            <v>-80</v>
          </cell>
          <cell r="D4441">
            <v>0</v>
          </cell>
        </row>
        <row r="4442">
          <cell r="A4442" t="str">
            <v>PMI00132_G</v>
          </cell>
          <cell r="B4442" t="str">
            <v>Herstellanweisung 20097120-1C</v>
          </cell>
          <cell r="C4442">
            <v>-30</v>
          </cell>
          <cell r="D4442">
            <v>0</v>
          </cell>
        </row>
        <row r="4443">
          <cell r="A4443" t="str">
            <v>PMI00132_H</v>
          </cell>
          <cell r="B4443" t="str">
            <v>Herstellanweisung 20097120-1C</v>
          </cell>
          <cell r="C4443">
            <v>-106</v>
          </cell>
          <cell r="D4443">
            <v>0</v>
          </cell>
        </row>
        <row r="4444">
          <cell r="A4444" t="str">
            <v>PMI00133_B</v>
          </cell>
          <cell r="B4444" t="str">
            <v>Herstellanweisung AESCU.certus</v>
          </cell>
          <cell r="C4444">
            <v>0</v>
          </cell>
          <cell r="D4444">
            <v>0</v>
          </cell>
        </row>
        <row r="4445">
          <cell r="A4445" t="str">
            <v>PMI00133_C</v>
          </cell>
          <cell r="B4445" t="str">
            <v>Herstellanweisung AESCU.certus</v>
          </cell>
          <cell r="C4445">
            <v>-18</v>
          </cell>
          <cell r="D4445">
            <v>0</v>
          </cell>
        </row>
        <row r="4446">
          <cell r="A4446" t="str">
            <v>PMI00134_B</v>
          </cell>
          <cell r="B4446" t="str">
            <v>Herstellanweisung 20048020</v>
          </cell>
          <cell r="C4446">
            <v>-50</v>
          </cell>
          <cell r="D4446">
            <v>0</v>
          </cell>
        </row>
        <row r="4447">
          <cell r="A4447" t="str">
            <v>PMI00134_C</v>
          </cell>
          <cell r="B4447" t="str">
            <v>Herstellanweisung 20048020</v>
          </cell>
          <cell r="C4447">
            <v>-19</v>
          </cell>
          <cell r="D4447">
            <v>0</v>
          </cell>
        </row>
        <row r="4448">
          <cell r="A4448" t="str">
            <v>PMI00134_D</v>
          </cell>
          <cell r="B4448" t="str">
            <v>Herstellanweisung 20048020</v>
          </cell>
          <cell r="C4448">
            <v>-161</v>
          </cell>
          <cell r="D4448">
            <v>0</v>
          </cell>
        </row>
        <row r="4449">
          <cell r="A4449" t="str">
            <v>PMI00135_A</v>
          </cell>
          <cell r="B4449" t="str">
            <v>Herstellanweisung PANA.ceia AMD Histoscanning 2</v>
          </cell>
          <cell r="C4449">
            <v>0</v>
          </cell>
          <cell r="D4449">
            <v>0</v>
          </cell>
        </row>
        <row r="4450">
          <cell r="A4450" t="str">
            <v>PMI00135_B</v>
          </cell>
          <cell r="B4450" t="str">
            <v>Herstellanweisung PANA.ceia AMD Histoscanning 2</v>
          </cell>
          <cell r="C4450">
            <v>-7</v>
          </cell>
          <cell r="D4450">
            <v>0</v>
          </cell>
        </row>
        <row r="4451">
          <cell r="A4451" t="str">
            <v>PMI00135_C</v>
          </cell>
          <cell r="B4451" t="str">
            <v>Herstellanweisung PANA.ceia AMD Histoscanning 2</v>
          </cell>
          <cell r="C4451">
            <v>-12</v>
          </cell>
          <cell r="D4451">
            <v>0</v>
          </cell>
        </row>
        <row r="4452">
          <cell r="A4452" t="str">
            <v>PMI00135_D</v>
          </cell>
          <cell r="B4452" t="str">
            <v>Herstellanweisung PANA.ceia AMD Histoscanning 2</v>
          </cell>
          <cell r="C4452">
            <v>-15</v>
          </cell>
          <cell r="D4452">
            <v>0</v>
          </cell>
        </row>
        <row r="4453">
          <cell r="A4453" t="str">
            <v>PMI00136_A</v>
          </cell>
          <cell r="B4453" t="str">
            <v>Herstellanweisung  CART AMD Histoscanning 2</v>
          </cell>
          <cell r="C4453">
            <v>0</v>
          </cell>
          <cell r="D4453">
            <v>0</v>
          </cell>
        </row>
        <row r="4454">
          <cell r="A4454" t="str">
            <v>PMI00136_B</v>
          </cell>
          <cell r="B4454" t="str">
            <v>Herstellanweisung  CART AMD Histoscanning 2</v>
          </cell>
          <cell r="C4454">
            <v>-1</v>
          </cell>
          <cell r="D4454">
            <v>0</v>
          </cell>
        </row>
        <row r="4455">
          <cell r="A4455" t="str">
            <v>PMI00136_C</v>
          </cell>
          <cell r="B4455" t="str">
            <v>Herstellanweisung  CART AMD Histoscanning 2</v>
          </cell>
          <cell r="C4455">
            <v>-3</v>
          </cell>
          <cell r="D4455">
            <v>0</v>
          </cell>
        </row>
        <row r="4456">
          <cell r="A4456" t="str">
            <v>PMI00138_A</v>
          </cell>
          <cell r="B4456" t="str">
            <v>HERSTELLANWEISUNG KARL STORZ OR1 FUSION control</v>
          </cell>
          <cell r="C4456">
            <v>-13</v>
          </cell>
          <cell r="D4456">
            <v>0</v>
          </cell>
        </row>
        <row r="4457">
          <cell r="A4457" t="str">
            <v>PMI00138_B</v>
          </cell>
          <cell r="B4457" t="str">
            <v>HERSTELLANWEISUNG KARL STORZ OR1 FUSION control</v>
          </cell>
          <cell r="C4457">
            <v>-36</v>
          </cell>
          <cell r="D4457">
            <v>0</v>
          </cell>
        </row>
        <row r="4458">
          <cell r="A4458" t="str">
            <v>PMI00138_C</v>
          </cell>
          <cell r="B4458" t="str">
            <v>HERSTELLANWEISUNG KARL STORZ OR1 FUSION control</v>
          </cell>
          <cell r="C4458">
            <v>-26</v>
          </cell>
          <cell r="D4458">
            <v>0</v>
          </cell>
        </row>
        <row r="4459">
          <cell r="A4459" t="str">
            <v>PMI00138_D</v>
          </cell>
          <cell r="B4459" t="str">
            <v>HERSTELLANWEISUNG KARL STORZ OR1 FUSION control</v>
          </cell>
          <cell r="C4459">
            <v>-20</v>
          </cell>
          <cell r="D4459">
            <v>0</v>
          </cell>
        </row>
        <row r="4460">
          <cell r="A4460" t="str">
            <v>PMI00138_E</v>
          </cell>
          <cell r="B4460" t="str">
            <v>HERSTELLANWEISUNG KARL STORZ OR1 FUSION control</v>
          </cell>
          <cell r="C4460">
            <v>-50</v>
          </cell>
          <cell r="D4460">
            <v>0</v>
          </cell>
        </row>
        <row r="4461">
          <cell r="A4461" t="str">
            <v>PMI00139_A</v>
          </cell>
          <cell r="B4461" t="str">
            <v>Herstellanweisung AESCU.certus2 non-USV</v>
          </cell>
          <cell r="C4461">
            <v>-18</v>
          </cell>
          <cell r="D4461">
            <v>0</v>
          </cell>
        </row>
        <row r="4462">
          <cell r="A4462" t="str">
            <v>PMI00139_B</v>
          </cell>
          <cell r="B4462" t="str">
            <v>Herstellanweisung AESCU.certus2 non-USV</v>
          </cell>
          <cell r="C4462">
            <v>-1</v>
          </cell>
          <cell r="D4462">
            <v>0</v>
          </cell>
        </row>
        <row r="4463">
          <cell r="A4463" t="str">
            <v>PMI00139_C</v>
          </cell>
          <cell r="B4463" t="str">
            <v>Herstellanweisung AESCU.certus2 non-USV</v>
          </cell>
          <cell r="C4463">
            <v>-13</v>
          </cell>
          <cell r="D4463">
            <v>0</v>
          </cell>
        </row>
        <row r="4464">
          <cell r="A4464" t="str">
            <v>PMI00139_D</v>
          </cell>
          <cell r="B4464" t="str">
            <v>Herstellanweisung AESCU.certus2 non-USV</v>
          </cell>
          <cell r="C4464">
            <v>-78</v>
          </cell>
          <cell r="D4464">
            <v>0</v>
          </cell>
        </row>
        <row r="4465">
          <cell r="A4465" t="str">
            <v>PMI00139_E</v>
          </cell>
          <cell r="B4465" t="str">
            <v>Herstellanweisung AESCU.certus2 non-USV</v>
          </cell>
          <cell r="C4465">
            <v>-7</v>
          </cell>
          <cell r="D4465">
            <v>0</v>
          </cell>
        </row>
        <row r="4466">
          <cell r="A4466" t="str">
            <v>PMI00139_F</v>
          </cell>
          <cell r="B4466" t="str">
            <v>Herstellanweisung AESCU.certus2 non-USV</v>
          </cell>
          <cell r="C4466">
            <v>-4</v>
          </cell>
          <cell r="D4466">
            <v>0</v>
          </cell>
        </row>
        <row r="4467">
          <cell r="A4467" t="str">
            <v>PMI00140_A</v>
          </cell>
          <cell r="B4467" t="str">
            <v>Herstellanweisung 20205501-140</v>
          </cell>
          <cell r="C4467">
            <v>-9</v>
          </cell>
          <cell r="D4467">
            <v>0</v>
          </cell>
        </row>
        <row r="4468">
          <cell r="A4468" t="str">
            <v>PMI00141_A</v>
          </cell>
          <cell r="B4468" t="str">
            <v>Herstellanweisung THA.leia 19"</v>
          </cell>
          <cell r="C4468">
            <v>-2</v>
          </cell>
          <cell r="D4468">
            <v>0</v>
          </cell>
        </row>
        <row r="4469">
          <cell r="A4469" t="str">
            <v>PMI00141_B</v>
          </cell>
          <cell r="B4469" t="str">
            <v>Herstellanweisung THA.leia 19"</v>
          </cell>
          <cell r="C4469">
            <v>-4</v>
          </cell>
          <cell r="D4469">
            <v>0</v>
          </cell>
        </row>
        <row r="4470">
          <cell r="A4470" t="str">
            <v>PMI00143_A</v>
          </cell>
          <cell r="B4470" t="str">
            <v>Herstellanweisung 20205501-140</v>
          </cell>
          <cell r="C4470">
            <v>0</v>
          </cell>
          <cell r="D4470">
            <v>0</v>
          </cell>
        </row>
        <row r="4471">
          <cell r="A4471" t="str">
            <v>PMI00144_A</v>
          </cell>
          <cell r="B4471" t="str">
            <v>Herstellanweisung MCD Medical Line THA.leia 21,5"</v>
          </cell>
          <cell r="C4471">
            <v>-5</v>
          </cell>
          <cell r="D4471">
            <v>0</v>
          </cell>
        </row>
        <row r="4472">
          <cell r="A4472" t="str">
            <v>PMI00147_A</v>
          </cell>
          <cell r="B4472" t="str">
            <v>Herstellanweisung  DIACAP with SmartScreen</v>
          </cell>
          <cell r="C4472">
            <v>-2</v>
          </cell>
          <cell r="D4472">
            <v>0</v>
          </cell>
        </row>
        <row r="4473">
          <cell r="A4473" t="str">
            <v>PMI00147_B</v>
          </cell>
          <cell r="B4473" t="str">
            <v>Herstellanweisung  DIACAP with SmartScreen</v>
          </cell>
          <cell r="C4473">
            <v>-40</v>
          </cell>
          <cell r="D4473">
            <v>0</v>
          </cell>
        </row>
        <row r="4474">
          <cell r="A4474" t="str">
            <v>PMI00147_C</v>
          </cell>
          <cell r="B4474" t="str">
            <v>Herstellanweisung  DIACAP with SmartScreen</v>
          </cell>
          <cell r="C4474">
            <v>0</v>
          </cell>
          <cell r="D4474">
            <v>0</v>
          </cell>
        </row>
        <row r="4475">
          <cell r="A4475" t="str">
            <v>PMI00148_A</v>
          </cell>
          <cell r="B4475" t="str">
            <v>Herstellanweisung  DIACAP without SmartScreen</v>
          </cell>
          <cell r="C4475">
            <v>0</v>
          </cell>
          <cell r="D4475">
            <v>0</v>
          </cell>
        </row>
        <row r="4476">
          <cell r="A4476" t="str">
            <v>PMI00149_A</v>
          </cell>
          <cell r="B4476" t="str">
            <v>Herstellanweisung MCD Medical Line PANA.ceia²</v>
          </cell>
          <cell r="C4476">
            <v>-15</v>
          </cell>
          <cell r="D4476">
            <v>0</v>
          </cell>
        </row>
        <row r="4477">
          <cell r="A4477" t="str">
            <v>PMI00149_B</v>
          </cell>
          <cell r="B4477" t="str">
            <v>Herstellanweisung MCD Medical Line PANA.ceia²</v>
          </cell>
          <cell r="C4477">
            <v>-30</v>
          </cell>
          <cell r="D4477">
            <v>0</v>
          </cell>
        </row>
        <row r="4478">
          <cell r="A4478" t="str">
            <v>PMI00149_C</v>
          </cell>
          <cell r="B4478" t="str">
            <v>Herstellanweisung MCD Medical Line PANA.ceia²</v>
          </cell>
          <cell r="C4478">
            <v>0</v>
          </cell>
          <cell r="D4478">
            <v>0</v>
          </cell>
        </row>
        <row r="4479">
          <cell r="A4479" t="str">
            <v>PMI00149_D</v>
          </cell>
          <cell r="B4479" t="str">
            <v>Herstellanweisung MCD Medical Line PANA.ceia²</v>
          </cell>
          <cell r="C4479">
            <v>-19</v>
          </cell>
          <cell r="D4479">
            <v>0</v>
          </cell>
        </row>
        <row r="4480">
          <cell r="A4480" t="str">
            <v>PMI00149_E</v>
          </cell>
          <cell r="B4480" t="str">
            <v>Herstellanweisung MCD Medical Line PANA.ceia²</v>
          </cell>
          <cell r="C4480">
            <v>-46</v>
          </cell>
          <cell r="D4480">
            <v>0</v>
          </cell>
        </row>
        <row r="4481">
          <cell r="A4481" t="str">
            <v>PMI00149_F</v>
          </cell>
          <cell r="B4481" t="str">
            <v>Herstellanweisung PANA.ceia²</v>
          </cell>
          <cell r="C4481">
            <v>0</v>
          </cell>
          <cell r="D4481">
            <v>0</v>
          </cell>
        </row>
        <row r="4482">
          <cell r="A4482" t="str">
            <v>PMI00151_A</v>
          </cell>
          <cell r="B4482" t="str">
            <v>Herstellanweisung Medical-Cardio PC i5 Schiller</v>
          </cell>
          <cell r="C4482">
            <v>-17</v>
          </cell>
          <cell r="D4482">
            <v>0</v>
          </cell>
        </row>
        <row r="4483">
          <cell r="A4483" t="str">
            <v>PMI00151_B</v>
          </cell>
          <cell r="B4483" t="str">
            <v>Herstellanweisung Medical-Cardio PC i5 Schiller</v>
          </cell>
          <cell r="C4483">
            <v>-20</v>
          </cell>
          <cell r="D4483">
            <v>0</v>
          </cell>
        </row>
        <row r="4484">
          <cell r="A4484" t="str">
            <v>PMI00151_C</v>
          </cell>
          <cell r="B4484" t="str">
            <v>Herstellanweisung Medical-Cardio PC i5 Schiller</v>
          </cell>
          <cell r="C4484">
            <v>-4</v>
          </cell>
          <cell r="D4484">
            <v>0</v>
          </cell>
        </row>
        <row r="4485">
          <cell r="A4485" t="str">
            <v>PMI00151_D</v>
          </cell>
          <cell r="B4485" t="str">
            <v>Herstellanweisung Medical-Cardio PC i5 Schiller</v>
          </cell>
          <cell r="C4485">
            <v>-10</v>
          </cell>
          <cell r="D4485">
            <v>0</v>
          </cell>
        </row>
        <row r="4486">
          <cell r="A4486" t="str">
            <v>PMI00151_E</v>
          </cell>
          <cell r="B4486" t="str">
            <v>Herstellanweisung Medical-Cardio PC i5 Schiller</v>
          </cell>
          <cell r="C4486">
            <v>-40</v>
          </cell>
          <cell r="D4486">
            <v>0</v>
          </cell>
        </row>
        <row r="4487">
          <cell r="A4487" t="str">
            <v>PMI00151_F</v>
          </cell>
          <cell r="B4487" t="str">
            <v>Herstellanweisung Medical-Cardio PC i5 Schiller</v>
          </cell>
          <cell r="C4487">
            <v>0</v>
          </cell>
          <cell r="D4487">
            <v>0</v>
          </cell>
        </row>
        <row r="4488">
          <cell r="A4488" t="str">
            <v>PMI00152_A</v>
          </cell>
          <cell r="B4488" t="str">
            <v>Herstellanweisung AMD HistoScanning G3 PC</v>
          </cell>
          <cell r="C4488">
            <v>-7</v>
          </cell>
          <cell r="D4488">
            <v>0</v>
          </cell>
        </row>
        <row r="4489">
          <cell r="A4489" t="str">
            <v>PMI00152_B</v>
          </cell>
          <cell r="B4489" t="str">
            <v>Herstellanweisung AMD HistoScanning G3 PC</v>
          </cell>
          <cell r="C4489">
            <v>-1</v>
          </cell>
          <cell r="D4489">
            <v>0</v>
          </cell>
        </row>
        <row r="4490">
          <cell r="A4490" t="str">
            <v>PMI00152_C</v>
          </cell>
          <cell r="B4490" t="str">
            <v>Herstellanweisung AMD HistoScanning G3 PC</v>
          </cell>
          <cell r="C4490">
            <v>-1</v>
          </cell>
          <cell r="D4490">
            <v>0</v>
          </cell>
        </row>
        <row r="4491">
          <cell r="A4491" t="str">
            <v>PMI00152_D</v>
          </cell>
          <cell r="B4491" t="str">
            <v>Herstellanweisung AMD HistoScanning G3 PC</v>
          </cell>
          <cell r="C4491">
            <v>-2</v>
          </cell>
          <cell r="D4491">
            <v>0</v>
          </cell>
        </row>
        <row r="4492">
          <cell r="A4492" t="str">
            <v>PMI00153</v>
          </cell>
          <cell r="B4492" t="str">
            <v>Herstellanweisung AMD HistoScanning G3 Cart</v>
          </cell>
          <cell r="C4492">
            <v>0</v>
          </cell>
          <cell r="D4492">
            <v>0</v>
          </cell>
        </row>
        <row r="4493">
          <cell r="A4493" t="str">
            <v>PMI00153_A</v>
          </cell>
          <cell r="B4493" t="str">
            <v>Herstellanweisung AMD HistoScanning G3 Cart</v>
          </cell>
          <cell r="C4493">
            <v>-7</v>
          </cell>
          <cell r="D4493">
            <v>0</v>
          </cell>
        </row>
        <row r="4494">
          <cell r="A4494" t="str">
            <v>PMI00153_B</v>
          </cell>
          <cell r="B4494" t="str">
            <v>Herstellanweisung AMD HistoScanning G3 Cart</v>
          </cell>
          <cell r="C4494">
            <v>-1</v>
          </cell>
          <cell r="D4494">
            <v>0</v>
          </cell>
        </row>
        <row r="4495">
          <cell r="A4495" t="str">
            <v>PMI00153_D</v>
          </cell>
          <cell r="B4495" t="str">
            <v>Herstellanweisung AMD HistoScanning G3 Cart</v>
          </cell>
          <cell r="C4495">
            <v>-2</v>
          </cell>
          <cell r="D4495">
            <v>0</v>
          </cell>
        </row>
        <row r="4496">
          <cell r="A4496" t="str">
            <v>PMI00154_A</v>
          </cell>
          <cell r="B4496" t="str">
            <v>Herstellanweisung AESCU.certus² UKF</v>
          </cell>
          <cell r="C4496">
            <v>-1</v>
          </cell>
          <cell r="D4496">
            <v>0</v>
          </cell>
        </row>
        <row r="4497">
          <cell r="A4497" t="str">
            <v>PMI00156_A</v>
          </cell>
          <cell r="B4497" t="str">
            <v>Herstellanweisung THA.leia 19"</v>
          </cell>
          <cell r="C4497">
            <v>0</v>
          </cell>
          <cell r="D4497">
            <v>0</v>
          </cell>
        </row>
        <row r="4498">
          <cell r="A4498" t="str">
            <v>PMI00157_A</v>
          </cell>
          <cell r="B4498" t="str">
            <v>Herstelleranweisung AESCU.mobilus² Cart inkl. PC</v>
          </cell>
          <cell r="C4498">
            <v>-1</v>
          </cell>
          <cell r="D4498">
            <v>0</v>
          </cell>
        </row>
        <row r="4499">
          <cell r="A4499" t="str">
            <v>PMI00158_A</v>
          </cell>
          <cell r="B4499" t="str">
            <v>Herstelleranweisung AESCU.mobilus² PC only</v>
          </cell>
          <cell r="C4499">
            <v>-1</v>
          </cell>
          <cell r="D4499">
            <v>0</v>
          </cell>
        </row>
        <row r="4500">
          <cell r="A4500" t="str">
            <v>PMI00159_A</v>
          </cell>
          <cell r="B4500" t="str">
            <v>Herstellanweisung AMD HistoScanning G3 Kabel Kit</v>
          </cell>
          <cell r="C4500">
            <v>-4</v>
          </cell>
          <cell r="D4500">
            <v>0</v>
          </cell>
        </row>
        <row r="4501">
          <cell r="A4501" t="str">
            <v>PMI00160_A</v>
          </cell>
          <cell r="B4501" t="str">
            <v>MANUFACTURING INSTRUCTION</v>
          </cell>
          <cell r="C4501">
            <v>-14</v>
          </cell>
          <cell r="D4501">
            <v>0</v>
          </cell>
        </row>
        <row r="4502">
          <cell r="A4502" t="str">
            <v>PMI00161_A</v>
          </cell>
          <cell r="B4502" t="str">
            <v>MANUFACTURING INSTRUCTION</v>
          </cell>
          <cell r="C4502">
            <v>0</v>
          </cell>
          <cell r="D4502">
            <v>0</v>
          </cell>
        </row>
        <row r="4503">
          <cell r="A4503" t="str">
            <v>PN-650</v>
          </cell>
          <cell r="B4503" t="str">
            <v>MCD Motion Line  Notebook PN-650 15,4"</v>
          </cell>
          <cell r="C4503">
            <v>0</v>
          </cell>
          <cell r="D4503">
            <v>778</v>
          </cell>
        </row>
        <row r="4504">
          <cell r="A4504" t="str">
            <v>PPI00128_N</v>
          </cell>
          <cell r="B4504" t="str">
            <v>Verpackungsanweisung 20205601-140</v>
          </cell>
          <cell r="C4504">
            <v>-27</v>
          </cell>
          <cell r="D4504">
            <v>0</v>
          </cell>
        </row>
        <row r="4505">
          <cell r="A4505" t="str">
            <v>PPI00128_O</v>
          </cell>
          <cell r="B4505" t="str">
            <v>Verpackungsanweisung 20205501-140</v>
          </cell>
          <cell r="C4505">
            <v>-29</v>
          </cell>
          <cell r="D4505">
            <v>0</v>
          </cell>
        </row>
        <row r="4506">
          <cell r="A4506" t="str">
            <v>PPI00128_P</v>
          </cell>
          <cell r="B4506" t="str">
            <v>Verpackungsanweisung 20205501-140</v>
          </cell>
          <cell r="C4506">
            <v>-928</v>
          </cell>
          <cell r="D4506">
            <v>0</v>
          </cell>
        </row>
        <row r="4507">
          <cell r="A4507" t="str">
            <v>PPI00128_Q</v>
          </cell>
          <cell r="B4507" t="str">
            <v>Verpackungsanweisung 20205501-140</v>
          </cell>
          <cell r="C4507">
            <v>-485</v>
          </cell>
          <cell r="D4507">
            <v>0</v>
          </cell>
        </row>
        <row r="4508">
          <cell r="A4508" t="str">
            <v>PPI00128_R</v>
          </cell>
          <cell r="B4508" t="str">
            <v>Verpackungsanweisung 20205501-140</v>
          </cell>
          <cell r="C4508">
            <v>-34</v>
          </cell>
          <cell r="D4508">
            <v>0</v>
          </cell>
        </row>
        <row r="4509">
          <cell r="A4509" t="str">
            <v>PPI00128_S</v>
          </cell>
          <cell r="B4509" t="str">
            <v>Verpackungsanweisung 20205501-140</v>
          </cell>
          <cell r="C4509">
            <v>-169</v>
          </cell>
          <cell r="D4509">
            <v>0</v>
          </cell>
        </row>
        <row r="4510">
          <cell r="A4510" t="str">
            <v>PPI00128_T</v>
          </cell>
          <cell r="B4510" t="str">
            <v>Verpackungsanweisung 20205501-140</v>
          </cell>
          <cell r="C4510">
            <v>-298</v>
          </cell>
          <cell r="D4510">
            <v>0</v>
          </cell>
        </row>
        <row r="4511">
          <cell r="A4511" t="str">
            <v>PPI00128_U</v>
          </cell>
          <cell r="B4511" t="str">
            <v>Verpackungsanweisung 20205501-140</v>
          </cell>
          <cell r="C4511">
            <v>-99</v>
          </cell>
          <cell r="D4511">
            <v>0</v>
          </cell>
        </row>
        <row r="4512">
          <cell r="A4512" t="str">
            <v>PPI00130_A</v>
          </cell>
          <cell r="B4512" t="str">
            <v>Verpackungsanweisung MCD Medical Line PANA.ceia</v>
          </cell>
          <cell r="C4512">
            <v>-2</v>
          </cell>
          <cell r="D4512">
            <v>0</v>
          </cell>
        </row>
        <row r="4513">
          <cell r="A4513" t="str">
            <v>PPI00130_B</v>
          </cell>
          <cell r="B4513" t="str">
            <v>Verpackungsanweisung MCD Medical Line PANA.ceia</v>
          </cell>
          <cell r="C4513">
            <v>-104</v>
          </cell>
          <cell r="D4513">
            <v>0</v>
          </cell>
        </row>
        <row r="4514">
          <cell r="A4514" t="str">
            <v>PPI00130_C</v>
          </cell>
          <cell r="B4514" t="str">
            <v>Verpackungsanweisung MCD Medical Line PANA.ceia</v>
          </cell>
          <cell r="C4514">
            <v>-55</v>
          </cell>
          <cell r="D4514">
            <v>0</v>
          </cell>
        </row>
        <row r="4515">
          <cell r="A4515" t="str">
            <v>PPI00130_D</v>
          </cell>
          <cell r="B4515" t="str">
            <v>Verpackungsanweisung MCD Medical Line PANA.ceia</v>
          </cell>
          <cell r="C4515">
            <v>-14</v>
          </cell>
          <cell r="D4515">
            <v>0</v>
          </cell>
        </row>
        <row r="4516">
          <cell r="A4516" t="str">
            <v>PPI00133_A</v>
          </cell>
          <cell r="B4516" t="str">
            <v>Verpackungsanweisung MCD Medical Line PANA.ceia</v>
          </cell>
          <cell r="C4516">
            <v>-14</v>
          </cell>
          <cell r="D4516">
            <v>0</v>
          </cell>
        </row>
        <row r="4517">
          <cell r="A4517" t="str">
            <v>PPI00133_H</v>
          </cell>
          <cell r="B4517" t="str">
            <v>Verpackungsanweisung 20205602-1</v>
          </cell>
          <cell r="C4517">
            <v>-4</v>
          </cell>
          <cell r="D4517">
            <v>0</v>
          </cell>
        </row>
        <row r="4518">
          <cell r="A4518" t="str">
            <v>PPI00133_I</v>
          </cell>
          <cell r="B4518" t="str">
            <v>Verpackungsanweisung 20205502-1</v>
          </cell>
          <cell r="C4518">
            <v>0</v>
          </cell>
          <cell r="D4518">
            <v>0</v>
          </cell>
        </row>
        <row r="4519">
          <cell r="A4519" t="str">
            <v>PPI00133_J</v>
          </cell>
          <cell r="B4519" t="str">
            <v>Verpackungsanweisung 20205502-1</v>
          </cell>
          <cell r="C4519">
            <v>-20</v>
          </cell>
          <cell r="D4519">
            <v>0</v>
          </cell>
        </row>
        <row r="4520">
          <cell r="A4520" t="str">
            <v>PPI00133_K</v>
          </cell>
          <cell r="B4520" t="str">
            <v>Verpackungsanweisung 20205502-1</v>
          </cell>
          <cell r="C4520">
            <v>0</v>
          </cell>
          <cell r="D4520">
            <v>0</v>
          </cell>
        </row>
        <row r="4521">
          <cell r="A4521" t="str">
            <v>PPI00133_L</v>
          </cell>
          <cell r="B4521" t="str">
            <v>Verpackungsanweisung 20205502-1</v>
          </cell>
          <cell r="C4521">
            <v>0</v>
          </cell>
          <cell r="D4521">
            <v>0</v>
          </cell>
        </row>
        <row r="4522">
          <cell r="A4522" t="str">
            <v>PPI00133_M</v>
          </cell>
          <cell r="B4522" t="str">
            <v>Verpackungsanweisung 20205502-1</v>
          </cell>
          <cell r="C4522">
            <v>0</v>
          </cell>
          <cell r="D4522">
            <v>0</v>
          </cell>
        </row>
        <row r="4523">
          <cell r="A4523" t="str">
            <v>PPI00133_N</v>
          </cell>
          <cell r="B4523" t="str">
            <v>Verpackungsanweisung 20205502-1</v>
          </cell>
          <cell r="C4523">
            <v>-19</v>
          </cell>
          <cell r="D4523">
            <v>0</v>
          </cell>
        </row>
        <row r="4524">
          <cell r="A4524" t="str">
            <v>PPI00133_O</v>
          </cell>
          <cell r="B4524" t="str">
            <v>Verpackungsanweisung 20205502-1</v>
          </cell>
          <cell r="C4524">
            <v>-2</v>
          </cell>
          <cell r="D4524">
            <v>0</v>
          </cell>
        </row>
        <row r="4525">
          <cell r="A4525" t="str">
            <v>PPI00138_E</v>
          </cell>
          <cell r="B4525" t="str">
            <v>Verpackungsanweisung HistoScanning</v>
          </cell>
          <cell r="C4525">
            <v>0</v>
          </cell>
          <cell r="D4525">
            <v>0</v>
          </cell>
        </row>
        <row r="4526">
          <cell r="A4526" t="str">
            <v>PPI00138_F</v>
          </cell>
          <cell r="B4526" t="str">
            <v>Verpackungsanweisung HistoScanning</v>
          </cell>
          <cell r="C4526">
            <v>0</v>
          </cell>
          <cell r="D4526">
            <v>0</v>
          </cell>
        </row>
        <row r="4527">
          <cell r="A4527" t="str">
            <v>PPI00143_B</v>
          </cell>
          <cell r="B4527" t="str">
            <v>Verpackungsanweisung Cellvizio Control MKT</v>
          </cell>
          <cell r="C4527">
            <v>-75</v>
          </cell>
          <cell r="D4527">
            <v>0</v>
          </cell>
        </row>
        <row r="4528">
          <cell r="A4528" t="str">
            <v>PPI00143_D</v>
          </cell>
          <cell r="B4528" t="str">
            <v>Verpackungsanweisung Cellvizio Control MKT</v>
          </cell>
          <cell r="C4528">
            <v>-17</v>
          </cell>
          <cell r="D4528">
            <v>0</v>
          </cell>
        </row>
        <row r="4529">
          <cell r="A4529" t="str">
            <v>PPI00143_E</v>
          </cell>
          <cell r="B4529" t="str">
            <v>Verpackungsanweisung Cellvizio Control MKT</v>
          </cell>
          <cell r="C4529">
            <v>-20</v>
          </cell>
          <cell r="D4529">
            <v>0</v>
          </cell>
        </row>
        <row r="4530">
          <cell r="A4530" t="str">
            <v>PPI00143_F</v>
          </cell>
          <cell r="B4530" t="str">
            <v>Verpackungsanweisung Cellvizio Control MKT</v>
          </cell>
          <cell r="C4530">
            <v>-12</v>
          </cell>
          <cell r="D4530">
            <v>0</v>
          </cell>
        </row>
        <row r="4531">
          <cell r="A4531" t="str">
            <v>PPI00143_G</v>
          </cell>
          <cell r="B4531" t="str">
            <v>Verpackungsanweisung Cellvizio Control MKT</v>
          </cell>
          <cell r="C4531">
            <v>-28</v>
          </cell>
          <cell r="D4531">
            <v>0</v>
          </cell>
        </row>
        <row r="4532">
          <cell r="A4532" t="str">
            <v>PPI00144_B</v>
          </cell>
          <cell r="B4532" t="str">
            <v>Verpackungsanweisung Distibuted Medical</v>
          </cell>
          <cell r="C4532">
            <v>-10</v>
          </cell>
          <cell r="D4532">
            <v>0</v>
          </cell>
        </row>
        <row r="4533">
          <cell r="A4533" t="str">
            <v>PPI00145_A</v>
          </cell>
          <cell r="B4533" t="str">
            <v>Verpackungsanweisung 20050020</v>
          </cell>
          <cell r="C4533">
            <v>0</v>
          </cell>
          <cell r="D4533">
            <v>0</v>
          </cell>
        </row>
        <row r="4534">
          <cell r="A4534" t="str">
            <v>PPI00145_B</v>
          </cell>
          <cell r="B4534" t="str">
            <v>Verpackungsanweisung 20050020</v>
          </cell>
          <cell r="C4534">
            <v>0</v>
          </cell>
          <cell r="D4534">
            <v>0</v>
          </cell>
        </row>
        <row r="4535">
          <cell r="A4535" t="str">
            <v>PPI00146_B</v>
          </cell>
          <cell r="B4535" t="str">
            <v>Verpackungsanweisung 20046120-D</v>
          </cell>
          <cell r="C4535">
            <v>-1444</v>
          </cell>
          <cell r="D4535">
            <v>0</v>
          </cell>
        </row>
        <row r="4536">
          <cell r="A4536" t="str">
            <v>PPI00146_C</v>
          </cell>
          <cell r="B4536" t="str">
            <v>Verpackungsanweisung 20046120-D</v>
          </cell>
          <cell r="C4536">
            <v>-413</v>
          </cell>
          <cell r="D4536">
            <v>0</v>
          </cell>
        </row>
        <row r="4537">
          <cell r="A4537" t="str">
            <v>PPI00146_D</v>
          </cell>
          <cell r="B4537" t="str">
            <v>Verpackungsanweisung 20046120-D</v>
          </cell>
          <cell r="C4537">
            <v>-770</v>
          </cell>
          <cell r="D4537">
            <v>0</v>
          </cell>
        </row>
        <row r="4538">
          <cell r="A4538" t="str">
            <v>PPI00146_E</v>
          </cell>
          <cell r="B4538" t="str">
            <v>Verpackungsanweisung 20046120-D</v>
          </cell>
          <cell r="C4538">
            <v>-120</v>
          </cell>
          <cell r="D4538">
            <v>0</v>
          </cell>
        </row>
        <row r="4539">
          <cell r="A4539" t="str">
            <v>PPI00148_A</v>
          </cell>
          <cell r="B4539" t="str">
            <v>Verpackungsanweisung MCD Medical Line VEIO.vis</v>
          </cell>
          <cell r="C4539">
            <v>-12</v>
          </cell>
          <cell r="D4539">
            <v>0</v>
          </cell>
        </row>
        <row r="4540">
          <cell r="A4540" t="str">
            <v>PPI00149_C</v>
          </cell>
          <cell r="B4540" t="str">
            <v>Verpackungsanweisung 20205701-140</v>
          </cell>
          <cell r="C4540">
            <v>0</v>
          </cell>
          <cell r="D4540">
            <v>0</v>
          </cell>
        </row>
        <row r="4541">
          <cell r="A4541" t="str">
            <v>PPI00149_D</v>
          </cell>
          <cell r="B4541" t="str">
            <v>Verpackungsanweisung 20205701-140</v>
          </cell>
          <cell r="C4541">
            <v>0</v>
          </cell>
          <cell r="D4541">
            <v>0</v>
          </cell>
        </row>
        <row r="4542">
          <cell r="A4542" t="str">
            <v>PPI00149_E</v>
          </cell>
          <cell r="B4542" t="str">
            <v>Verpackungsanweisung 20205701-140</v>
          </cell>
          <cell r="C4542">
            <v>0</v>
          </cell>
          <cell r="D4542">
            <v>0</v>
          </cell>
        </row>
        <row r="4543">
          <cell r="A4543" t="str">
            <v>PPI00149_F</v>
          </cell>
          <cell r="B4543" t="str">
            <v>Verpackungsanweisung 20205701-140</v>
          </cell>
          <cell r="C4543">
            <v>0</v>
          </cell>
          <cell r="D4543">
            <v>0</v>
          </cell>
        </row>
        <row r="4544">
          <cell r="A4544" t="str">
            <v>PPI00150_D</v>
          </cell>
          <cell r="B4544" t="str">
            <v>Verpackungsanweisung 20205702-1</v>
          </cell>
          <cell r="C4544">
            <v>-1</v>
          </cell>
          <cell r="D4544">
            <v>0</v>
          </cell>
        </row>
        <row r="4545">
          <cell r="A4545" t="str">
            <v>PPI00150_E</v>
          </cell>
          <cell r="B4545" t="str">
            <v>Verpackungsanweisung 20205702-1</v>
          </cell>
          <cell r="C4545">
            <v>0</v>
          </cell>
          <cell r="D4545">
            <v>0</v>
          </cell>
        </row>
        <row r="4546">
          <cell r="A4546" t="str">
            <v>PPI00150_F</v>
          </cell>
          <cell r="B4546" t="str">
            <v>Verpackungsanweisung 20205702-1</v>
          </cell>
          <cell r="C4546">
            <v>0</v>
          </cell>
          <cell r="D4546">
            <v>0</v>
          </cell>
        </row>
        <row r="4547">
          <cell r="A4547" t="str">
            <v>PPI00150_G</v>
          </cell>
          <cell r="B4547" t="str">
            <v>Verpackungsanweisung 20205702-1</v>
          </cell>
          <cell r="C4547">
            <v>0</v>
          </cell>
          <cell r="D4547">
            <v>0</v>
          </cell>
        </row>
        <row r="4548">
          <cell r="A4548" t="str">
            <v>PPI00151_A</v>
          </cell>
          <cell r="B4548" t="str">
            <v>Verpackungsanweisung 20048020</v>
          </cell>
          <cell r="C4548">
            <v>-260</v>
          </cell>
          <cell r="D4548">
            <v>0</v>
          </cell>
        </row>
        <row r="4549">
          <cell r="A4549" t="str">
            <v>PPI00152_A</v>
          </cell>
          <cell r="B4549" t="str">
            <v>Verpackungsanweisung 20097120-1C</v>
          </cell>
          <cell r="C4549">
            <v>-422</v>
          </cell>
          <cell r="D4549">
            <v>0</v>
          </cell>
        </row>
        <row r="4550">
          <cell r="A4550" t="str">
            <v>PPI00152_B</v>
          </cell>
          <cell r="B4550" t="str">
            <v>Verpackungsanweisung 20097120-1C</v>
          </cell>
          <cell r="C4550">
            <v>-266</v>
          </cell>
          <cell r="D4550">
            <v>0</v>
          </cell>
        </row>
        <row r="4551">
          <cell r="A4551" t="str">
            <v>PPI00152_C</v>
          </cell>
          <cell r="B4551" t="str">
            <v>Verpackungsanweisung 20097120-1C</v>
          </cell>
          <cell r="C4551">
            <v>-10</v>
          </cell>
          <cell r="D4551">
            <v>0</v>
          </cell>
        </row>
        <row r="4552">
          <cell r="A4552" t="str">
            <v>PPI00153_B</v>
          </cell>
          <cell r="B4552" t="str">
            <v>Verpackungsanweisung Histoscanning 2</v>
          </cell>
          <cell r="C4552">
            <v>-4</v>
          </cell>
          <cell r="D4552">
            <v>0</v>
          </cell>
        </row>
        <row r="4553">
          <cell r="A4553" t="str">
            <v>PPI00153_C</v>
          </cell>
          <cell r="B4553" t="str">
            <v>Verpackungsanweisung Histoscanning 2</v>
          </cell>
          <cell r="C4553">
            <v>0</v>
          </cell>
          <cell r="D4553">
            <v>0</v>
          </cell>
        </row>
        <row r="4554">
          <cell r="A4554" t="str">
            <v>PPI00154_A</v>
          </cell>
          <cell r="B4554" t="str">
            <v>Verpackungsanweisung MCD Medical Line PANA.ceia²</v>
          </cell>
          <cell r="C4554">
            <v>-30</v>
          </cell>
          <cell r="D4554">
            <v>0</v>
          </cell>
        </row>
        <row r="4555">
          <cell r="A4555" t="str">
            <v>PPI00154_B</v>
          </cell>
          <cell r="B4555" t="str">
            <v>Verpackungsanweisung MCD Medical Line PANA.ceia²</v>
          </cell>
          <cell r="C4555">
            <v>-15</v>
          </cell>
          <cell r="D4555">
            <v>0</v>
          </cell>
        </row>
        <row r="4556">
          <cell r="A4556" t="str">
            <v>PPI00154_C</v>
          </cell>
          <cell r="B4556" t="str">
            <v>Verpackungsanweisung MCD Medical Line PANA.ceia²</v>
          </cell>
          <cell r="C4556">
            <v>-1</v>
          </cell>
          <cell r="D4556">
            <v>0</v>
          </cell>
        </row>
        <row r="4557">
          <cell r="A4557" t="str">
            <v>PPI00154_D</v>
          </cell>
          <cell r="B4557" t="str">
            <v>Verpackungsanweisung MCD Medical Line PANA.ceia²</v>
          </cell>
          <cell r="C4557">
            <v>-64</v>
          </cell>
          <cell r="D4557">
            <v>0</v>
          </cell>
        </row>
        <row r="4558">
          <cell r="A4558" t="str">
            <v>PPI00154_E</v>
          </cell>
          <cell r="B4558" t="str">
            <v>Verpackungsanweisung MCD Medical Line PANA.ceia²</v>
          </cell>
          <cell r="C4558">
            <v>0</v>
          </cell>
          <cell r="D4558">
            <v>0</v>
          </cell>
        </row>
        <row r="4559">
          <cell r="A4559" t="str">
            <v>PPI00155_A</v>
          </cell>
          <cell r="B4559" t="str">
            <v>Verpackungsanweisung AESCU.certus</v>
          </cell>
          <cell r="C4559">
            <v>-18</v>
          </cell>
          <cell r="D4559">
            <v>0</v>
          </cell>
        </row>
        <row r="4560">
          <cell r="A4560" t="str">
            <v>PPI00156_A</v>
          </cell>
          <cell r="B4560" t="str">
            <v>VERPACKUNGSNWEISUNG KARL STORZ OR1 FUSION</v>
          </cell>
          <cell r="C4560">
            <v>-49</v>
          </cell>
          <cell r="D4560">
            <v>0</v>
          </cell>
        </row>
        <row r="4561">
          <cell r="A4561" t="str">
            <v>PPI00156_B</v>
          </cell>
          <cell r="B4561" t="str">
            <v>VERPACKUNGSNWEISUNG KARL STORZ OR1 FUSION</v>
          </cell>
          <cell r="C4561">
            <v>-96</v>
          </cell>
          <cell r="D4561">
            <v>0</v>
          </cell>
        </row>
        <row r="4562">
          <cell r="A4562" t="str">
            <v>PPI00156_C</v>
          </cell>
          <cell r="B4562" t="str">
            <v>VERPACKUNGSNWEISUNG KARL STORZ OR1 FUSION</v>
          </cell>
          <cell r="C4562">
            <v>0</v>
          </cell>
          <cell r="D4562">
            <v>0</v>
          </cell>
        </row>
        <row r="4563">
          <cell r="A4563" t="str">
            <v>PPI00157_A</v>
          </cell>
          <cell r="B4563" t="str">
            <v>Verpackungsanweisung AESCU.certus2 non-USV</v>
          </cell>
          <cell r="C4563">
            <v>-19</v>
          </cell>
          <cell r="D4563">
            <v>0</v>
          </cell>
        </row>
        <row r="4564">
          <cell r="A4564" t="str">
            <v>PPI00157_B</v>
          </cell>
          <cell r="B4564" t="str">
            <v>Verpackungsanweisung AESCU.certus2 non-USV</v>
          </cell>
          <cell r="C4564">
            <v>-92</v>
          </cell>
          <cell r="D4564">
            <v>0</v>
          </cell>
        </row>
        <row r="4565">
          <cell r="A4565" t="str">
            <v>PPI00157_D</v>
          </cell>
          <cell r="B4565" t="str">
            <v>Verpackungsanweisung AESCU.certus2 non-USV</v>
          </cell>
          <cell r="C4565">
            <v>-7</v>
          </cell>
          <cell r="D4565">
            <v>0</v>
          </cell>
        </row>
        <row r="4566">
          <cell r="A4566" t="str">
            <v>PPI00157_E</v>
          </cell>
          <cell r="B4566" t="str">
            <v>Verpackungsanweisung AESCU.certus2 non-USV</v>
          </cell>
          <cell r="C4566">
            <v>-4</v>
          </cell>
          <cell r="D4566">
            <v>0</v>
          </cell>
        </row>
        <row r="4567">
          <cell r="A4567" t="str">
            <v>PPI00157_F</v>
          </cell>
          <cell r="B4567" t="str">
            <v>Verpackungsanweisung AESCU.certus2 non-USV</v>
          </cell>
          <cell r="C4567">
            <v>0</v>
          </cell>
          <cell r="D4567">
            <v>0</v>
          </cell>
        </row>
        <row r="4568">
          <cell r="A4568" t="str">
            <v>PPI00158_A</v>
          </cell>
          <cell r="B4568" t="str">
            <v>Verpackungsanweisung 20205501-140</v>
          </cell>
          <cell r="C4568">
            <v>-9</v>
          </cell>
          <cell r="D4568">
            <v>0</v>
          </cell>
        </row>
        <row r="4569">
          <cell r="A4569" t="str">
            <v>PPI00160_A</v>
          </cell>
          <cell r="B4569" t="str">
            <v>Verpackungsanweisung THA.leia 19"</v>
          </cell>
          <cell r="C4569">
            <v>-6</v>
          </cell>
          <cell r="D4569">
            <v>0</v>
          </cell>
        </row>
        <row r="4570">
          <cell r="A4570" t="str">
            <v>PPI00161_A</v>
          </cell>
          <cell r="B4570" t="str">
            <v>Verpackungsanweisung 20205501-140</v>
          </cell>
          <cell r="C4570">
            <v>0</v>
          </cell>
          <cell r="D4570">
            <v>0</v>
          </cell>
        </row>
        <row r="4571">
          <cell r="A4571" t="str">
            <v>PPI00162_A</v>
          </cell>
          <cell r="B4571" t="str">
            <v>Verpackungsanweisung THA.leia 21,5"</v>
          </cell>
          <cell r="C4571">
            <v>-7</v>
          </cell>
          <cell r="D4571">
            <v>0</v>
          </cell>
        </row>
        <row r="4572">
          <cell r="A4572" t="str">
            <v>PPI00163_A</v>
          </cell>
          <cell r="B4572" t="str">
            <v>Verpackungsanweisung MCD Medical Line OMNI.view</v>
          </cell>
          <cell r="C4572">
            <v>-94</v>
          </cell>
          <cell r="D4572">
            <v>0</v>
          </cell>
        </row>
        <row r="4573">
          <cell r="A4573" t="str">
            <v>PPI00164_A</v>
          </cell>
          <cell r="B4573" t="str">
            <v>Verpackungsanweisung Histoscanning 2 PC only</v>
          </cell>
          <cell r="C4573">
            <v>-15</v>
          </cell>
          <cell r="D4573">
            <v>0</v>
          </cell>
        </row>
        <row r="4574">
          <cell r="A4574" t="str">
            <v>PPI00165_A</v>
          </cell>
          <cell r="B4574" t="str">
            <v>Verpackungsanweisung 063888-00</v>
          </cell>
          <cell r="C4574">
            <v>-2</v>
          </cell>
          <cell r="D4574">
            <v>0</v>
          </cell>
        </row>
        <row r="4575">
          <cell r="A4575" t="str">
            <v>PPI00165_B</v>
          </cell>
          <cell r="B4575" t="str">
            <v>Verpackungsanweisung 063888-00</v>
          </cell>
          <cell r="C4575">
            <v>-40</v>
          </cell>
          <cell r="D4575">
            <v>0</v>
          </cell>
        </row>
        <row r="4576">
          <cell r="A4576" t="str">
            <v>PPI00166_A</v>
          </cell>
          <cell r="B4576" t="str">
            <v>Verpackungsanweisung 063890-00</v>
          </cell>
          <cell r="C4576">
            <v>0</v>
          </cell>
          <cell r="D4576">
            <v>0</v>
          </cell>
        </row>
        <row r="4577">
          <cell r="A4577" t="str">
            <v>PPI00169_A</v>
          </cell>
          <cell r="B4577" t="str">
            <v>Verpackungsanweisung Medical-Cardio PC i5 Schiller</v>
          </cell>
          <cell r="C4577">
            <v>-47</v>
          </cell>
          <cell r="D4577">
            <v>0</v>
          </cell>
        </row>
        <row r="4578">
          <cell r="A4578" t="str">
            <v>PPI00169_B</v>
          </cell>
          <cell r="B4578" t="str">
            <v>Verpackungsanweisung Medical-Cardio PC i5 Schiller</v>
          </cell>
          <cell r="C4578">
            <v>-44</v>
          </cell>
          <cell r="D4578">
            <v>0</v>
          </cell>
        </row>
        <row r="4579">
          <cell r="A4579" t="str">
            <v>PPI00170</v>
          </cell>
          <cell r="B4579" t="str">
            <v>Verpackungsanweisung AMD HistoScanning G3 PC</v>
          </cell>
          <cell r="C4579">
            <v>-1</v>
          </cell>
          <cell r="D4579">
            <v>0</v>
          </cell>
        </row>
        <row r="4580">
          <cell r="A4580" t="str">
            <v>PPI00170_A</v>
          </cell>
          <cell r="B4580" t="str">
            <v>Verpackungsanweisung AMD HistoScanning G3 PC</v>
          </cell>
          <cell r="C4580">
            <v>-7</v>
          </cell>
          <cell r="D4580">
            <v>0</v>
          </cell>
        </row>
        <row r="4581">
          <cell r="A4581" t="str">
            <v>PPI00170_B</v>
          </cell>
          <cell r="B4581" t="str">
            <v>Verpackungsanweisung AMD HistoScanning G3 PC</v>
          </cell>
          <cell r="C4581">
            <v>-3</v>
          </cell>
          <cell r="D4581">
            <v>0</v>
          </cell>
        </row>
        <row r="4582">
          <cell r="A4582" t="str">
            <v>PPI00171</v>
          </cell>
          <cell r="B4582" t="str">
            <v>Verpackungsanweisung AMD HistoScanning G3 Cart</v>
          </cell>
          <cell r="C4582">
            <v>0</v>
          </cell>
          <cell r="D4582">
            <v>0</v>
          </cell>
        </row>
        <row r="4583">
          <cell r="A4583" t="str">
            <v>PPI00171_A</v>
          </cell>
          <cell r="B4583" t="str">
            <v>Verpackungsanweisung AMD HistoScanning G3 Cart</v>
          </cell>
          <cell r="C4583">
            <v>-7</v>
          </cell>
          <cell r="D4583">
            <v>0</v>
          </cell>
        </row>
        <row r="4584">
          <cell r="A4584" t="str">
            <v>PPI00171_B</v>
          </cell>
          <cell r="B4584" t="str">
            <v>Verpackungsanweisung AMD HistoScanning G3 Cart</v>
          </cell>
          <cell r="C4584">
            <v>-3</v>
          </cell>
          <cell r="D4584">
            <v>0</v>
          </cell>
        </row>
        <row r="4585">
          <cell r="A4585" t="str">
            <v>PPI00172_A</v>
          </cell>
          <cell r="B4585" t="str">
            <v>Verpackungsanweisung Histoscanning G2 Upgrade</v>
          </cell>
          <cell r="C4585">
            <v>-15</v>
          </cell>
          <cell r="D4585">
            <v>0</v>
          </cell>
        </row>
        <row r="4586">
          <cell r="A4586" t="str">
            <v>PPI00172_B</v>
          </cell>
          <cell r="B4586" t="str">
            <v>Verpackungsanweisung Histoscanning G2 Upgrade</v>
          </cell>
          <cell r="C4586">
            <v>-11</v>
          </cell>
          <cell r="D4586">
            <v>0</v>
          </cell>
        </row>
        <row r="4587">
          <cell r="A4587" t="str">
            <v>PPI00173_A</v>
          </cell>
          <cell r="B4587" t="str">
            <v>Verpackungsanweisung THA.leia 19"</v>
          </cell>
          <cell r="C4587">
            <v>0</v>
          </cell>
          <cell r="D4587">
            <v>0</v>
          </cell>
        </row>
        <row r="4588">
          <cell r="A4588" t="str">
            <v>PPI00174_A</v>
          </cell>
          <cell r="B4588" t="str">
            <v>Verpackungsanweisung AESCU.mobilus² Cart inkl. PC</v>
          </cell>
          <cell r="C4588">
            <v>-1</v>
          </cell>
          <cell r="D4588">
            <v>0</v>
          </cell>
        </row>
        <row r="4589">
          <cell r="A4589" t="str">
            <v>PPI00175_A</v>
          </cell>
          <cell r="B4589" t="str">
            <v>Verpackungsanweisung AESCU.mobilus² PC</v>
          </cell>
          <cell r="C4589">
            <v>-1</v>
          </cell>
          <cell r="D4589">
            <v>0</v>
          </cell>
        </row>
        <row r="4590">
          <cell r="A4590" t="str">
            <v>PPI00176_A</v>
          </cell>
          <cell r="B4590" t="str">
            <v>PACKAGING INSTRUCTION</v>
          </cell>
          <cell r="C4590">
            <v>-14</v>
          </cell>
          <cell r="D4590">
            <v>0</v>
          </cell>
        </row>
        <row r="4591">
          <cell r="A4591" t="str">
            <v>PPI00177_A</v>
          </cell>
          <cell r="B4591" t="str">
            <v>PACKAGING INSTRUCTION  KST REMOTE BOX</v>
          </cell>
          <cell r="C4591">
            <v>0</v>
          </cell>
          <cell r="D4591">
            <v>0</v>
          </cell>
        </row>
        <row r="4592">
          <cell r="A4592" t="str">
            <v>PPSS36</v>
          </cell>
          <cell r="B4592" t="str">
            <v>Premium Pickup-Spare-Service 36 Monate</v>
          </cell>
          <cell r="C4592">
            <v>-67</v>
          </cell>
          <cell r="D4592">
            <v>149</v>
          </cell>
        </row>
        <row r="4593">
          <cell r="A4593" t="str">
            <v>PPSS48</v>
          </cell>
          <cell r="B4593" t="str">
            <v>Premium Pickup-Spare-Service 48 Monate</v>
          </cell>
          <cell r="C4593">
            <v>-6</v>
          </cell>
          <cell r="D4593">
            <v>0</v>
          </cell>
        </row>
        <row r="4594">
          <cell r="A4594" t="str">
            <v>PS36</v>
          </cell>
          <cell r="B4594" t="str">
            <v>Pickup-Service  36 Monate</v>
          </cell>
          <cell r="C4594">
            <v>-91</v>
          </cell>
          <cell r="D4594">
            <v>0</v>
          </cell>
        </row>
        <row r="4595">
          <cell r="A4595" t="str">
            <v>PS48</v>
          </cell>
          <cell r="B4595" t="str">
            <v>Pickup-Service 48 Monate</v>
          </cell>
          <cell r="C4595">
            <v>-20</v>
          </cell>
          <cell r="D4595">
            <v>0</v>
          </cell>
        </row>
        <row r="4596">
          <cell r="A4596" t="str">
            <v>PS60</v>
          </cell>
          <cell r="B4596" t="str">
            <v>Pickup-Service 60 Monate (month)</v>
          </cell>
          <cell r="C4596">
            <v>0</v>
          </cell>
          <cell r="D4596">
            <v>0</v>
          </cell>
        </row>
        <row r="4597">
          <cell r="A4597" t="str">
            <v>PTI00137_O</v>
          </cell>
          <cell r="B4597" t="str">
            <v>Prüfanweisung 20205601-140</v>
          </cell>
          <cell r="C4597">
            <v>-27</v>
          </cell>
          <cell r="D4597">
            <v>0</v>
          </cell>
        </row>
        <row r="4598">
          <cell r="A4598" t="str">
            <v>PTI00137_P</v>
          </cell>
          <cell r="B4598" t="str">
            <v>Prüfanweisung 20205501-140</v>
          </cell>
          <cell r="C4598">
            <v>-468</v>
          </cell>
          <cell r="D4598">
            <v>0</v>
          </cell>
        </row>
        <row r="4599">
          <cell r="A4599" t="str">
            <v>PTI00137_Q</v>
          </cell>
          <cell r="B4599" t="str">
            <v>Prüfanweisung 20205501-140</v>
          </cell>
          <cell r="C4599">
            <v>0</v>
          </cell>
          <cell r="D4599">
            <v>0</v>
          </cell>
        </row>
        <row r="4600">
          <cell r="A4600" t="str">
            <v>PTI00137_R</v>
          </cell>
          <cell r="B4600" t="str">
            <v>Prüfanweisung 20205501-140</v>
          </cell>
          <cell r="C4600">
            <v>-489</v>
          </cell>
          <cell r="D4600">
            <v>0</v>
          </cell>
        </row>
        <row r="4601">
          <cell r="A4601" t="str">
            <v>PTI00137_S</v>
          </cell>
          <cell r="B4601" t="str">
            <v>Prüfanweisung 20205501-140</v>
          </cell>
          <cell r="C4601">
            <v>-62</v>
          </cell>
          <cell r="D4601">
            <v>0</v>
          </cell>
        </row>
        <row r="4602">
          <cell r="A4602" t="str">
            <v>PTI00137_T</v>
          </cell>
          <cell r="B4602" t="str">
            <v>Prüfanweisung 20205501-140</v>
          </cell>
          <cell r="C4602">
            <v>-423</v>
          </cell>
          <cell r="D4602">
            <v>0</v>
          </cell>
        </row>
        <row r="4603">
          <cell r="A4603" t="str">
            <v>PTI00137_U</v>
          </cell>
          <cell r="B4603" t="str">
            <v>Prüfanweisung 20205501-140</v>
          </cell>
          <cell r="C4603">
            <v>-34</v>
          </cell>
          <cell r="D4603">
            <v>0</v>
          </cell>
        </row>
        <row r="4604">
          <cell r="A4604" t="str">
            <v>PTI00137_V</v>
          </cell>
          <cell r="B4604" t="str">
            <v>Prüfanweisung 20205501-140</v>
          </cell>
          <cell r="C4604">
            <v>-566</v>
          </cell>
          <cell r="D4604">
            <v>0</v>
          </cell>
        </row>
        <row r="4605">
          <cell r="A4605" t="str">
            <v>PTI00138_K</v>
          </cell>
          <cell r="B4605" t="str">
            <v>Prüfanweisung 20205602-1</v>
          </cell>
          <cell r="C4605">
            <v>-4</v>
          </cell>
          <cell r="D4605">
            <v>0</v>
          </cell>
        </row>
        <row r="4606">
          <cell r="A4606" t="str">
            <v>PTI00138_L</v>
          </cell>
          <cell r="B4606" t="str">
            <v>Prüfanweisung 20205502-1</v>
          </cell>
          <cell r="C4606">
            <v>-16</v>
          </cell>
          <cell r="D4606">
            <v>0</v>
          </cell>
        </row>
        <row r="4607">
          <cell r="A4607" t="str">
            <v>PTI00138_M</v>
          </cell>
          <cell r="B4607" t="str">
            <v>Prüfanweisung 20205502-1</v>
          </cell>
          <cell r="C4607">
            <v>0</v>
          </cell>
          <cell r="D4607">
            <v>0</v>
          </cell>
        </row>
        <row r="4608">
          <cell r="A4608" t="str">
            <v>PTI00138_N</v>
          </cell>
          <cell r="B4608" t="str">
            <v>Prüfanweisung 20205502-1</v>
          </cell>
          <cell r="C4608">
            <v>-4</v>
          </cell>
          <cell r="D4608">
            <v>0</v>
          </cell>
        </row>
        <row r="4609">
          <cell r="A4609" t="str">
            <v>PTI00138_O</v>
          </cell>
          <cell r="B4609" t="str">
            <v>Prüfanweisung 20205502-1</v>
          </cell>
          <cell r="C4609">
            <v>0</v>
          </cell>
          <cell r="D4609">
            <v>0</v>
          </cell>
        </row>
        <row r="4610">
          <cell r="A4610" t="str">
            <v>PTI00138_P</v>
          </cell>
          <cell r="B4610" t="str">
            <v>Prüfanweisung 20205502-1</v>
          </cell>
          <cell r="C4610">
            <v>0</v>
          </cell>
          <cell r="D4610">
            <v>0</v>
          </cell>
        </row>
        <row r="4611">
          <cell r="A4611" t="str">
            <v>PTI00138_Q</v>
          </cell>
          <cell r="B4611" t="str">
            <v>Prüfanweisung 20205502-1</v>
          </cell>
          <cell r="C4611">
            <v>-2</v>
          </cell>
          <cell r="D4611">
            <v>0</v>
          </cell>
        </row>
        <row r="4612">
          <cell r="A4612" t="str">
            <v>PTI00138_R</v>
          </cell>
          <cell r="B4612" t="str">
            <v>Prüfanweisung 20205602-1</v>
          </cell>
          <cell r="C4612">
            <v>-19</v>
          </cell>
          <cell r="D4612">
            <v>0</v>
          </cell>
        </row>
        <row r="4613">
          <cell r="A4613" t="str">
            <v>PTI00141_A</v>
          </cell>
          <cell r="B4613" t="str">
            <v>Prüfanweisung MCD Medical Line PANA.ceia</v>
          </cell>
          <cell r="C4613">
            <v>-14</v>
          </cell>
          <cell r="D4613">
            <v>0</v>
          </cell>
        </row>
        <row r="4614">
          <cell r="A4614" t="str">
            <v>PTI00141_B</v>
          </cell>
          <cell r="B4614" t="str">
            <v>Prüfanweisung MCD Medical Line PANA.ceia</v>
          </cell>
          <cell r="C4614">
            <v>-135</v>
          </cell>
          <cell r="D4614">
            <v>0</v>
          </cell>
        </row>
        <row r="4615">
          <cell r="A4615" t="str">
            <v>PTI00141_C</v>
          </cell>
          <cell r="B4615" t="str">
            <v>Prüfanweisung MCD Medical Line PANA.ceia</v>
          </cell>
          <cell r="C4615">
            <v>-35</v>
          </cell>
          <cell r="D4615">
            <v>0</v>
          </cell>
        </row>
        <row r="4616">
          <cell r="A4616" t="str">
            <v>PTI00141_D</v>
          </cell>
          <cell r="B4616" t="str">
            <v>Prüfanweisung MCD Medical Line PANA.ceia</v>
          </cell>
          <cell r="C4616">
            <v>-5</v>
          </cell>
          <cell r="D4616">
            <v>0</v>
          </cell>
        </row>
        <row r="4617">
          <cell r="A4617" t="str">
            <v>PTI00145_D</v>
          </cell>
          <cell r="B4617" t="str">
            <v>Prüfanweisung PC HistoScanning</v>
          </cell>
          <cell r="C4617">
            <v>-8</v>
          </cell>
          <cell r="D4617">
            <v>0</v>
          </cell>
        </row>
        <row r="4618">
          <cell r="A4618" t="str">
            <v>PTI00146_D</v>
          </cell>
          <cell r="B4618" t="str">
            <v>Prüfanweisung Cart HistoScanning</v>
          </cell>
          <cell r="C4618">
            <v>-8</v>
          </cell>
          <cell r="D4618">
            <v>0</v>
          </cell>
        </row>
        <row r="4619">
          <cell r="A4619" t="str">
            <v>PTI00148_D</v>
          </cell>
          <cell r="B4619" t="str">
            <v>Prüfanweisung Cellvizio Control MKT</v>
          </cell>
          <cell r="C4619">
            <v>-92</v>
          </cell>
          <cell r="D4619">
            <v>0</v>
          </cell>
        </row>
        <row r="4620">
          <cell r="A4620" t="str">
            <v>PTI00148_E</v>
          </cell>
          <cell r="B4620" t="str">
            <v>Prüfanweisung Cellvizio Control MKT</v>
          </cell>
          <cell r="C4620">
            <v>-20</v>
          </cell>
          <cell r="D4620">
            <v>0</v>
          </cell>
        </row>
        <row r="4621">
          <cell r="A4621" t="str">
            <v>PTI00148_F</v>
          </cell>
          <cell r="B4621" t="str">
            <v>Prüfanweisung Cellvizio Control MKT</v>
          </cell>
          <cell r="C4621">
            <v>-40</v>
          </cell>
          <cell r="D4621">
            <v>0</v>
          </cell>
        </row>
        <row r="4622">
          <cell r="A4622" t="str">
            <v>PTI00149_A</v>
          </cell>
          <cell r="B4622" t="str">
            <v>Prüfanweisung Distributed Medical</v>
          </cell>
          <cell r="C4622">
            <v>-10</v>
          </cell>
          <cell r="D4622">
            <v>0</v>
          </cell>
        </row>
        <row r="4623">
          <cell r="A4623" t="str">
            <v>PTI00150_A</v>
          </cell>
          <cell r="B4623" t="str">
            <v>Prüfanweisung 20050020</v>
          </cell>
          <cell r="C4623">
            <v>0</v>
          </cell>
          <cell r="D4623">
            <v>0</v>
          </cell>
        </row>
        <row r="4624">
          <cell r="A4624" t="str">
            <v>PTI00150_B</v>
          </cell>
          <cell r="B4624" t="str">
            <v>Prüfanweisung 20050020</v>
          </cell>
          <cell r="C4624">
            <v>0</v>
          </cell>
          <cell r="D4624">
            <v>0</v>
          </cell>
        </row>
        <row r="4625">
          <cell r="A4625" t="str">
            <v>PTI00151_B</v>
          </cell>
          <cell r="B4625" t="str">
            <v>Prüfanweisung 20046120-D</v>
          </cell>
          <cell r="C4625">
            <v>-1857</v>
          </cell>
          <cell r="D4625">
            <v>0</v>
          </cell>
        </row>
        <row r="4626">
          <cell r="A4626" t="str">
            <v>PTI00151_C</v>
          </cell>
          <cell r="B4626" t="str">
            <v>Prüfanweisung 20046120-D</v>
          </cell>
          <cell r="C4626">
            <v>-890</v>
          </cell>
          <cell r="D4626">
            <v>0</v>
          </cell>
        </row>
        <row r="4627">
          <cell r="A4627" t="str">
            <v>PTI00153_A</v>
          </cell>
          <cell r="B4627" t="str">
            <v>Prüfanweisung MCD Medical Line VEIO.vis</v>
          </cell>
          <cell r="C4627">
            <v>-12</v>
          </cell>
          <cell r="D4627">
            <v>0</v>
          </cell>
        </row>
        <row r="4628">
          <cell r="A4628" t="str">
            <v>PTI00154_C</v>
          </cell>
          <cell r="B4628" t="str">
            <v>Prüfanweisung 20205701-140</v>
          </cell>
          <cell r="C4628">
            <v>0</v>
          </cell>
          <cell r="D4628">
            <v>0</v>
          </cell>
        </row>
        <row r="4629">
          <cell r="A4629" t="str">
            <v>PTI00154_D</v>
          </cell>
          <cell r="B4629" t="str">
            <v>Prüfanweisung 20205701-140</v>
          </cell>
          <cell r="C4629">
            <v>0</v>
          </cell>
          <cell r="D4629">
            <v>0</v>
          </cell>
        </row>
        <row r="4630">
          <cell r="A4630" t="str">
            <v>PTI00154_E</v>
          </cell>
          <cell r="B4630" t="str">
            <v>Prüfanweisung 20205701-140</v>
          </cell>
          <cell r="C4630">
            <v>0</v>
          </cell>
          <cell r="D4630">
            <v>0</v>
          </cell>
        </row>
        <row r="4631">
          <cell r="A4631" t="str">
            <v>PTI00154_F</v>
          </cell>
          <cell r="B4631" t="str">
            <v>Prüfanweisung 20205701-140</v>
          </cell>
          <cell r="C4631">
            <v>0</v>
          </cell>
          <cell r="D4631">
            <v>0</v>
          </cell>
        </row>
        <row r="4632">
          <cell r="A4632" t="str">
            <v>PTI00155_C</v>
          </cell>
          <cell r="B4632" t="str">
            <v>Prüfanweisung 20205702-1</v>
          </cell>
          <cell r="C4632">
            <v>-1</v>
          </cell>
          <cell r="D4632">
            <v>0</v>
          </cell>
        </row>
        <row r="4633">
          <cell r="A4633" t="str">
            <v>PTI00155_D</v>
          </cell>
          <cell r="B4633" t="str">
            <v>Prüfanweisung 20205702-1</v>
          </cell>
          <cell r="C4633">
            <v>0</v>
          </cell>
          <cell r="D4633">
            <v>0</v>
          </cell>
        </row>
        <row r="4634">
          <cell r="A4634" t="str">
            <v>PTI00155_E</v>
          </cell>
          <cell r="B4634" t="str">
            <v>Prüfanweisung 20205702-1</v>
          </cell>
          <cell r="C4634">
            <v>0</v>
          </cell>
          <cell r="D4634">
            <v>0</v>
          </cell>
        </row>
        <row r="4635">
          <cell r="A4635" t="str">
            <v>PTI00156_A</v>
          </cell>
          <cell r="B4635" t="str">
            <v>Prüfanweisung 20048020</v>
          </cell>
          <cell r="C4635">
            <v>-260</v>
          </cell>
          <cell r="D4635">
            <v>0</v>
          </cell>
        </row>
        <row r="4636">
          <cell r="A4636" t="str">
            <v>PTI00157_A</v>
          </cell>
          <cell r="B4636" t="str">
            <v>Prüfanweisung 20097120-1C</v>
          </cell>
          <cell r="C4636">
            <v>-40</v>
          </cell>
          <cell r="D4636">
            <v>0</v>
          </cell>
        </row>
        <row r="4637">
          <cell r="A4637" t="str">
            <v>PTI00157_B</v>
          </cell>
          <cell r="B4637" t="str">
            <v>Prüfanweisung 20097120-1C</v>
          </cell>
          <cell r="C4637">
            <v>-658</v>
          </cell>
          <cell r="D4637">
            <v>0</v>
          </cell>
        </row>
        <row r="4638">
          <cell r="A4638" t="str">
            <v>PTI00159_A</v>
          </cell>
          <cell r="B4638" t="str">
            <v>Prüfanweisung  PANA.ceia AMD Histoscanning 2</v>
          </cell>
          <cell r="C4638">
            <v>-30</v>
          </cell>
          <cell r="D4638">
            <v>0</v>
          </cell>
        </row>
        <row r="4639">
          <cell r="A4639" t="str">
            <v>PTI00159_B</v>
          </cell>
          <cell r="B4639" t="str">
            <v>Prüfanweisung  PANA.ceia AMD Histoscanning 2</v>
          </cell>
          <cell r="C4639">
            <v>-15</v>
          </cell>
          <cell r="D4639">
            <v>0</v>
          </cell>
        </row>
        <row r="4640">
          <cell r="A4640" t="str">
            <v>PTI00160_A</v>
          </cell>
          <cell r="B4640" t="str">
            <v>Prüfanweisung  CART AMD Histoscanning 2</v>
          </cell>
          <cell r="C4640">
            <v>-1</v>
          </cell>
          <cell r="D4640">
            <v>0</v>
          </cell>
        </row>
        <row r="4641">
          <cell r="A4641" t="str">
            <v>PTI00160_B</v>
          </cell>
          <cell r="B4641" t="str">
            <v>Prüfanweisung  CART AMD Histoscanning 2</v>
          </cell>
          <cell r="C4641">
            <v>-3</v>
          </cell>
          <cell r="D4641">
            <v>0</v>
          </cell>
        </row>
        <row r="4642">
          <cell r="A4642" t="str">
            <v>PTI00161_A</v>
          </cell>
          <cell r="B4642" t="str">
            <v>Prüfanweisung MCD Medical Line PANA.ceia²</v>
          </cell>
          <cell r="C4642">
            <v>-46</v>
          </cell>
          <cell r="D4642">
            <v>0</v>
          </cell>
        </row>
        <row r="4643">
          <cell r="A4643" t="str">
            <v>PTI00161_B</v>
          </cell>
          <cell r="B4643" t="str">
            <v>Prüfanweisung MCD Medical Line PANA.ceia²</v>
          </cell>
          <cell r="C4643">
            <v>-64</v>
          </cell>
          <cell r="D4643">
            <v>0</v>
          </cell>
        </row>
        <row r="4644">
          <cell r="A4644" t="str">
            <v>PTI00162_B</v>
          </cell>
          <cell r="B4644" t="str">
            <v>Prüfanweisung AESCU.certus</v>
          </cell>
          <cell r="C4644">
            <v>-18</v>
          </cell>
          <cell r="D4644">
            <v>0</v>
          </cell>
        </row>
        <row r="4645">
          <cell r="A4645" t="str">
            <v>PTI00163_A</v>
          </cell>
          <cell r="B4645" t="str">
            <v>PRÜFANWEISUNG KARL STORZ OR1 FUSION control</v>
          </cell>
          <cell r="C4645">
            <v>-49</v>
          </cell>
          <cell r="D4645">
            <v>0</v>
          </cell>
        </row>
        <row r="4646">
          <cell r="A4646" t="str">
            <v>PTI00163_B</v>
          </cell>
          <cell r="B4646" t="str">
            <v>PRÜFANWEISUNG KARL STORZ OR1 FUSION control</v>
          </cell>
          <cell r="C4646">
            <v>-1</v>
          </cell>
          <cell r="D4646">
            <v>0</v>
          </cell>
        </row>
        <row r="4647">
          <cell r="A4647" t="str">
            <v>PTI00163_C</v>
          </cell>
          <cell r="B4647" t="str">
            <v>PRÜFANWEISUNG KARL STORZ OR1 FUSION control</v>
          </cell>
          <cell r="C4647">
            <v>-25</v>
          </cell>
          <cell r="D4647">
            <v>0</v>
          </cell>
        </row>
        <row r="4648">
          <cell r="A4648" t="str">
            <v>PTI00163_D</v>
          </cell>
          <cell r="B4648" t="str">
            <v>PRÜFANWEISUNG KARL STORZ OR1 FUSION control</v>
          </cell>
          <cell r="C4648">
            <v>-70</v>
          </cell>
          <cell r="D4648">
            <v>0</v>
          </cell>
        </row>
        <row r="4649">
          <cell r="A4649" t="str">
            <v>PTI00164_A</v>
          </cell>
          <cell r="B4649" t="str">
            <v>Prüfanweisung AESCU.certus2 non-USV</v>
          </cell>
          <cell r="C4649">
            <v>-33</v>
          </cell>
          <cell r="D4649">
            <v>0</v>
          </cell>
        </row>
        <row r="4650">
          <cell r="A4650" t="str">
            <v>PTI00164_B</v>
          </cell>
          <cell r="B4650" t="str">
            <v>Prüfanweisung AESCU.certus2 non-USV</v>
          </cell>
          <cell r="C4650">
            <v>-89</v>
          </cell>
          <cell r="D4650">
            <v>0</v>
          </cell>
        </row>
        <row r="4651">
          <cell r="A4651" t="str">
            <v>PTI00165_A</v>
          </cell>
          <cell r="B4651" t="str">
            <v>Prüfanweisung 20205501-140</v>
          </cell>
          <cell r="C4651">
            <v>-9</v>
          </cell>
          <cell r="D4651">
            <v>0</v>
          </cell>
        </row>
        <row r="4652">
          <cell r="A4652" t="str">
            <v>PTI00166_A</v>
          </cell>
          <cell r="B4652" t="str">
            <v>Prüfanweisung THA.leia 19"</v>
          </cell>
          <cell r="C4652">
            <v>-2</v>
          </cell>
          <cell r="D4652">
            <v>0</v>
          </cell>
        </row>
        <row r="4653">
          <cell r="A4653" t="str">
            <v>PTI00166_B</v>
          </cell>
          <cell r="B4653" t="str">
            <v>Prüfanweisung THA.leia 19"</v>
          </cell>
          <cell r="C4653">
            <v>-4</v>
          </cell>
          <cell r="D4653">
            <v>0</v>
          </cell>
        </row>
        <row r="4654">
          <cell r="A4654" t="str">
            <v>PTI00167_A</v>
          </cell>
          <cell r="B4654" t="str">
            <v>Prüfanweisung 20205501-140</v>
          </cell>
          <cell r="C4654">
            <v>0</v>
          </cell>
          <cell r="D4654">
            <v>0</v>
          </cell>
        </row>
        <row r="4655">
          <cell r="A4655" t="str">
            <v>PTI00168_A</v>
          </cell>
          <cell r="B4655" t="str">
            <v>Prüfanweisung MCD Medical Line THA.leia 21,5"</v>
          </cell>
          <cell r="C4655">
            <v>-5</v>
          </cell>
          <cell r="D4655">
            <v>0</v>
          </cell>
        </row>
        <row r="4656">
          <cell r="A4656" t="str">
            <v>PTI00170_A</v>
          </cell>
          <cell r="B4656" t="str">
            <v>Prüfanweisung  DIACAP with smartScreen</v>
          </cell>
          <cell r="C4656">
            <v>-2</v>
          </cell>
          <cell r="D4656">
            <v>0</v>
          </cell>
        </row>
        <row r="4657">
          <cell r="A4657" t="str">
            <v>PTI00170_B</v>
          </cell>
          <cell r="B4657" t="str">
            <v>Prüfanweisung  DIACAP with smartScreen</v>
          </cell>
          <cell r="C4657">
            <v>-40</v>
          </cell>
          <cell r="D4657">
            <v>0</v>
          </cell>
        </row>
        <row r="4658">
          <cell r="A4658" t="str">
            <v>PTI00171_A</v>
          </cell>
          <cell r="B4658" t="str">
            <v>Prüfanweisung  DIACAP without smartScreen</v>
          </cell>
          <cell r="C4658">
            <v>0</v>
          </cell>
          <cell r="D4658">
            <v>0</v>
          </cell>
        </row>
        <row r="4659">
          <cell r="A4659" t="str">
            <v>PTI00173_A</v>
          </cell>
          <cell r="B4659" t="str">
            <v>Prüfanweisung Medical-Cardio PC i5 Schiller</v>
          </cell>
          <cell r="C4659">
            <v>-17</v>
          </cell>
          <cell r="D4659">
            <v>0</v>
          </cell>
        </row>
        <row r="4660">
          <cell r="A4660" t="str">
            <v>PTI00173_B</v>
          </cell>
          <cell r="B4660" t="str">
            <v>Prüfanweisung Medical-Cardio PC i5 Schiller</v>
          </cell>
          <cell r="C4660">
            <v>-74</v>
          </cell>
          <cell r="D4660">
            <v>0</v>
          </cell>
        </row>
        <row r="4661">
          <cell r="A4661" t="str">
            <v>PTI00174</v>
          </cell>
          <cell r="B4661" t="str">
            <v>Prüfanweisung AMD HistoScanning G3 PC</v>
          </cell>
          <cell r="C4661">
            <v>-1</v>
          </cell>
          <cell r="D4661">
            <v>0</v>
          </cell>
        </row>
        <row r="4662">
          <cell r="A4662" t="str">
            <v>PTI00174_A</v>
          </cell>
          <cell r="B4662" t="str">
            <v>Prüfanweisung AMD HistoScanning G3 PC</v>
          </cell>
          <cell r="C4662">
            <v>-7</v>
          </cell>
          <cell r="D4662">
            <v>0</v>
          </cell>
        </row>
        <row r="4663">
          <cell r="A4663" t="str">
            <v>PTI00174_B</v>
          </cell>
          <cell r="B4663" t="str">
            <v>Prüfanweisung AMD HistoScanning G3 PC</v>
          </cell>
          <cell r="C4663">
            <v>-3</v>
          </cell>
          <cell r="D4663">
            <v>0</v>
          </cell>
        </row>
        <row r="4664">
          <cell r="A4664" t="str">
            <v>PTI00175</v>
          </cell>
          <cell r="B4664" t="str">
            <v>Prüfanweisung AMD HistoScanning G3 Cart</v>
          </cell>
          <cell r="C4664">
            <v>0</v>
          </cell>
          <cell r="D4664">
            <v>0</v>
          </cell>
        </row>
        <row r="4665">
          <cell r="A4665" t="str">
            <v>PTI00175_A</v>
          </cell>
          <cell r="B4665" t="str">
            <v>Prüfanweisung AMD HistoScanning G3 Cart</v>
          </cell>
          <cell r="C4665">
            <v>-7</v>
          </cell>
          <cell r="D4665">
            <v>0</v>
          </cell>
        </row>
        <row r="4666">
          <cell r="A4666" t="str">
            <v>PTI00175_B</v>
          </cell>
          <cell r="B4666" t="str">
            <v>Prüfanweisung AMD HistoScanning G3 Cart</v>
          </cell>
          <cell r="C4666">
            <v>-3</v>
          </cell>
          <cell r="D4666">
            <v>0</v>
          </cell>
        </row>
        <row r="4667">
          <cell r="A4667" t="str">
            <v>PTI00176_A</v>
          </cell>
          <cell r="B4667" t="str">
            <v>Prüfanweisung OMNI.view 21,5"</v>
          </cell>
          <cell r="C4667">
            <v>0</v>
          </cell>
          <cell r="D4667">
            <v>0</v>
          </cell>
        </row>
        <row r="4668">
          <cell r="A4668" t="str">
            <v>PTI00177_A</v>
          </cell>
          <cell r="B4668" t="str">
            <v>Prüfanweisung THA.leia 19"</v>
          </cell>
          <cell r="C4668">
            <v>0</v>
          </cell>
          <cell r="D4668">
            <v>0</v>
          </cell>
        </row>
        <row r="4669">
          <cell r="A4669" t="str">
            <v>PTI00178_A</v>
          </cell>
          <cell r="B4669" t="str">
            <v>Prüfanweisung AESCU.mobilus² Cart inkl. PC</v>
          </cell>
          <cell r="C4669">
            <v>-1</v>
          </cell>
          <cell r="D4669">
            <v>0</v>
          </cell>
        </row>
        <row r="4670">
          <cell r="A4670" t="str">
            <v>PTI00179_A</v>
          </cell>
          <cell r="B4670" t="str">
            <v>Prüfanweisung AESCU.mobilus² PC</v>
          </cell>
          <cell r="C4670">
            <v>-1</v>
          </cell>
          <cell r="D4670">
            <v>0</v>
          </cell>
        </row>
        <row r="4671">
          <cell r="A4671" t="str">
            <v>PTI00180_A</v>
          </cell>
          <cell r="B4671" t="str">
            <v>TEST INSTRUCTION</v>
          </cell>
          <cell r="C4671">
            <v>-14</v>
          </cell>
          <cell r="D4671">
            <v>0</v>
          </cell>
        </row>
        <row r="4672">
          <cell r="A4672" t="str">
            <v>PTI00181_A</v>
          </cell>
          <cell r="B4672" t="str">
            <v>TEST INSTRUCTION KST REMOTE BOX</v>
          </cell>
          <cell r="C4672">
            <v>0</v>
          </cell>
          <cell r="D4672">
            <v>0</v>
          </cell>
        </row>
        <row r="4673">
          <cell r="A4673" t="str">
            <v>PTR00174_AA</v>
          </cell>
          <cell r="B4673" t="str">
            <v>Device History Record 20205501-140</v>
          </cell>
          <cell r="C4673">
            <v>-1134</v>
          </cell>
          <cell r="D4673">
            <v>0</v>
          </cell>
        </row>
        <row r="4674">
          <cell r="A4674" t="str">
            <v>PTR00174_N</v>
          </cell>
          <cell r="B4674" t="str">
            <v>Device History Record 20205601-140</v>
          </cell>
          <cell r="C4674">
            <v>-27</v>
          </cell>
          <cell r="D4674">
            <v>0</v>
          </cell>
        </row>
        <row r="4675">
          <cell r="A4675" t="str">
            <v>PTR00174_O</v>
          </cell>
          <cell r="B4675" t="str">
            <v>Device History Record 20205501-140</v>
          </cell>
          <cell r="C4675">
            <v>-100</v>
          </cell>
          <cell r="D4675">
            <v>0</v>
          </cell>
        </row>
        <row r="4676">
          <cell r="A4676" t="str">
            <v>PTR00174_P</v>
          </cell>
          <cell r="B4676" t="str">
            <v>Device History Record 20205501-140</v>
          </cell>
          <cell r="C4676">
            <v>-35</v>
          </cell>
          <cell r="D4676">
            <v>0</v>
          </cell>
        </row>
        <row r="4677">
          <cell r="A4677" t="str">
            <v>PTR00174_Q</v>
          </cell>
          <cell r="B4677" t="str">
            <v>Device History Record 20205501-140</v>
          </cell>
          <cell r="C4677">
            <v>-35</v>
          </cell>
          <cell r="D4677">
            <v>0</v>
          </cell>
        </row>
        <row r="4678">
          <cell r="A4678" t="str">
            <v>PTR00174_R</v>
          </cell>
          <cell r="B4678" t="str">
            <v>Device History Record 20205501-140</v>
          </cell>
          <cell r="C4678">
            <v>-175</v>
          </cell>
          <cell r="D4678">
            <v>0</v>
          </cell>
        </row>
        <row r="4679">
          <cell r="A4679" t="str">
            <v>PTR00174_S</v>
          </cell>
          <cell r="B4679" t="str">
            <v>Device History Record 20205501-140</v>
          </cell>
          <cell r="C4679">
            <v>-41</v>
          </cell>
          <cell r="D4679">
            <v>0</v>
          </cell>
        </row>
        <row r="4680">
          <cell r="A4680" t="str">
            <v>PTR00174_T</v>
          </cell>
          <cell r="B4680" t="str">
            <v>Device History Record 20205501-140</v>
          </cell>
          <cell r="C4680">
            <v>-14</v>
          </cell>
          <cell r="D4680">
            <v>0</v>
          </cell>
        </row>
        <row r="4681">
          <cell r="A4681" t="str">
            <v>PTR00174_U</v>
          </cell>
          <cell r="B4681" t="str">
            <v>Device History Record 20205501-140</v>
          </cell>
          <cell r="C4681">
            <v>-88</v>
          </cell>
          <cell r="D4681">
            <v>0</v>
          </cell>
        </row>
        <row r="4682">
          <cell r="A4682" t="str">
            <v>PTR00174_V</v>
          </cell>
          <cell r="B4682" t="str">
            <v>Device History Record 20205501-140</v>
          </cell>
          <cell r="C4682">
            <v>-77</v>
          </cell>
          <cell r="D4682">
            <v>0</v>
          </cell>
        </row>
        <row r="4683">
          <cell r="A4683" t="str">
            <v>PTR00174_W</v>
          </cell>
          <cell r="B4683" t="str">
            <v>Device History Record 20205601-140</v>
          </cell>
          <cell r="C4683">
            <v>-227</v>
          </cell>
          <cell r="D4683">
            <v>0</v>
          </cell>
        </row>
        <row r="4684">
          <cell r="A4684" t="str">
            <v>PTR00174_X</v>
          </cell>
          <cell r="B4684" t="str">
            <v>Device History Record 20205601-140</v>
          </cell>
          <cell r="C4684">
            <v>-165</v>
          </cell>
          <cell r="D4684">
            <v>0</v>
          </cell>
        </row>
        <row r="4685">
          <cell r="A4685" t="str">
            <v>PTR00174_Y</v>
          </cell>
          <cell r="B4685" t="str">
            <v>Device History Record 20205501-140</v>
          </cell>
          <cell r="C4685">
            <v>-788</v>
          </cell>
          <cell r="D4685">
            <v>0</v>
          </cell>
        </row>
        <row r="4686">
          <cell r="A4686" t="str">
            <v>PTR00174_Z</v>
          </cell>
          <cell r="B4686" t="str">
            <v>Device History Record 20205501-140</v>
          </cell>
          <cell r="C4686">
            <v>-34</v>
          </cell>
          <cell r="D4686">
            <v>0</v>
          </cell>
        </row>
        <row r="4687">
          <cell r="A4687" t="str">
            <v>PTR00175_J</v>
          </cell>
          <cell r="B4687" t="str">
            <v>Device History Record SmartScreen 9824103</v>
          </cell>
          <cell r="C4687">
            <v>-1171</v>
          </cell>
          <cell r="D4687">
            <v>0</v>
          </cell>
        </row>
        <row r="4688">
          <cell r="A4688" t="str">
            <v>PTR00175_K</v>
          </cell>
          <cell r="B4688" t="str">
            <v>Device History Record SmartScreen 9900148M</v>
          </cell>
          <cell r="C4688">
            <v>-491</v>
          </cell>
          <cell r="D4688">
            <v>0</v>
          </cell>
        </row>
        <row r="4689">
          <cell r="A4689" t="str">
            <v>PTR00175_L</v>
          </cell>
          <cell r="B4689" t="str">
            <v>Device History Record SmartScreen 9900157M</v>
          </cell>
          <cell r="C4689">
            <v>-1108</v>
          </cell>
          <cell r="D4689">
            <v>0</v>
          </cell>
        </row>
        <row r="4690">
          <cell r="A4690" t="str">
            <v>PTR00180_C</v>
          </cell>
          <cell r="B4690" t="str">
            <v>Device History Record Cellvizio Control MKT</v>
          </cell>
          <cell r="C4690">
            <v>0</v>
          </cell>
          <cell r="D4690">
            <v>0</v>
          </cell>
        </row>
        <row r="4691">
          <cell r="A4691" t="str">
            <v>PTR00180_D</v>
          </cell>
          <cell r="B4691" t="str">
            <v>Device History Record Cellvizio Control MKT</v>
          </cell>
          <cell r="C4691">
            <v>-50</v>
          </cell>
          <cell r="D4691">
            <v>0</v>
          </cell>
        </row>
        <row r="4692">
          <cell r="A4692" t="str">
            <v>PTR00180_E</v>
          </cell>
          <cell r="B4692" t="str">
            <v>Device History Record Cellvizio Control MKT</v>
          </cell>
          <cell r="C4692">
            <v>-25</v>
          </cell>
          <cell r="D4692">
            <v>0</v>
          </cell>
        </row>
        <row r="4693">
          <cell r="A4693" t="str">
            <v>PTR00180_F</v>
          </cell>
          <cell r="B4693" t="str">
            <v>Device History Record Cellvizio Control MKT</v>
          </cell>
          <cell r="C4693">
            <v>-17</v>
          </cell>
          <cell r="D4693">
            <v>0</v>
          </cell>
        </row>
        <row r="4694">
          <cell r="A4694" t="str">
            <v>PTR00180_G</v>
          </cell>
          <cell r="B4694" t="str">
            <v>Device History Record Cellvizio Control MKT</v>
          </cell>
          <cell r="C4694">
            <v>-20</v>
          </cell>
          <cell r="D4694">
            <v>0</v>
          </cell>
        </row>
        <row r="4695">
          <cell r="A4695" t="str">
            <v>PTR00180_H</v>
          </cell>
          <cell r="B4695" t="str">
            <v>Device History Record Cellvizio Control MKT</v>
          </cell>
          <cell r="C4695">
            <v>-40</v>
          </cell>
          <cell r="D4695">
            <v>0</v>
          </cell>
        </row>
        <row r="4696">
          <cell r="A4696" t="str">
            <v>PTR00181_B</v>
          </cell>
          <cell r="B4696" t="str">
            <v>Device History Record Distibuted Medical</v>
          </cell>
          <cell r="C4696">
            <v>0</v>
          </cell>
          <cell r="D4696">
            <v>0</v>
          </cell>
        </row>
        <row r="4697">
          <cell r="A4697" t="str">
            <v>PTR00181_C</v>
          </cell>
          <cell r="B4697" t="str">
            <v>Device History Record Distibuted Medical</v>
          </cell>
          <cell r="C4697">
            <v>-10</v>
          </cell>
          <cell r="D4697">
            <v>0</v>
          </cell>
        </row>
        <row r="4698">
          <cell r="A4698" t="str">
            <v>PTR00182_B</v>
          </cell>
          <cell r="B4698" t="str">
            <v>DHR MCD Medical Line PANA.ceia</v>
          </cell>
          <cell r="C4698">
            <v>-106</v>
          </cell>
          <cell r="D4698">
            <v>0</v>
          </cell>
        </row>
        <row r="4699">
          <cell r="A4699" t="str">
            <v>PTR00187_L</v>
          </cell>
          <cell r="B4699" t="str">
            <v>Device History Record 20205602-1</v>
          </cell>
          <cell r="C4699">
            <v>-4</v>
          </cell>
          <cell r="D4699">
            <v>0</v>
          </cell>
        </row>
        <row r="4700">
          <cell r="A4700" t="str">
            <v>PTR00187_M</v>
          </cell>
          <cell r="B4700" t="str">
            <v>Device History Record 20205502-1</v>
          </cell>
          <cell r="C4700">
            <v>0</v>
          </cell>
          <cell r="D4700">
            <v>0</v>
          </cell>
        </row>
        <row r="4701">
          <cell r="A4701" t="str">
            <v>PTR00187_N</v>
          </cell>
          <cell r="B4701" t="str">
            <v>Device History Record 20205502-1</v>
          </cell>
          <cell r="C4701">
            <v>-16</v>
          </cell>
          <cell r="D4701">
            <v>0</v>
          </cell>
        </row>
        <row r="4702">
          <cell r="A4702" t="str">
            <v>PTR00187_Q</v>
          </cell>
          <cell r="B4702" t="str">
            <v>Device History Record 20205502-1</v>
          </cell>
          <cell r="C4702">
            <v>0</v>
          </cell>
          <cell r="D4702">
            <v>0</v>
          </cell>
        </row>
        <row r="4703">
          <cell r="A4703" t="str">
            <v>PTR00187_T</v>
          </cell>
          <cell r="B4703" t="str">
            <v>Device History Record 20205502-1</v>
          </cell>
          <cell r="C4703">
            <v>-4</v>
          </cell>
          <cell r="D4703">
            <v>0</v>
          </cell>
        </row>
        <row r="4704">
          <cell r="A4704" t="str">
            <v>PTR00187_U</v>
          </cell>
          <cell r="B4704" t="str">
            <v>Device History Record 20205502-1</v>
          </cell>
          <cell r="C4704">
            <v>0</v>
          </cell>
          <cell r="D4704">
            <v>0</v>
          </cell>
        </row>
        <row r="4705">
          <cell r="A4705" t="str">
            <v>PTR00187_V</v>
          </cell>
          <cell r="B4705" t="str">
            <v>Device History Record 20205502-1</v>
          </cell>
          <cell r="C4705">
            <v>0</v>
          </cell>
          <cell r="D4705">
            <v>0</v>
          </cell>
        </row>
        <row r="4706">
          <cell r="A4706" t="str">
            <v>PTR00187_W</v>
          </cell>
          <cell r="B4706" t="str">
            <v>Device History Record 20205502-1</v>
          </cell>
          <cell r="C4706">
            <v>-39</v>
          </cell>
          <cell r="D4706">
            <v>0</v>
          </cell>
        </row>
        <row r="4707">
          <cell r="A4707" t="str">
            <v>PTR00189_F</v>
          </cell>
          <cell r="B4707" t="str">
            <v>Device History Record PC HistoScanning</v>
          </cell>
          <cell r="C4707">
            <v>0</v>
          </cell>
          <cell r="D4707">
            <v>0</v>
          </cell>
        </row>
        <row r="4708">
          <cell r="A4708" t="str">
            <v>PTR00189_G</v>
          </cell>
          <cell r="B4708" t="str">
            <v>Device History Record PC HistoScanning</v>
          </cell>
          <cell r="C4708">
            <v>-8</v>
          </cell>
          <cell r="D4708">
            <v>0</v>
          </cell>
        </row>
        <row r="4709">
          <cell r="A4709" t="str">
            <v>PTR00190_D</v>
          </cell>
          <cell r="B4709" t="str">
            <v>Device History Record Cart HistoScanning</v>
          </cell>
          <cell r="C4709">
            <v>-8</v>
          </cell>
          <cell r="D4709">
            <v>0</v>
          </cell>
        </row>
        <row r="4710">
          <cell r="A4710" t="str">
            <v>PTR00191_A</v>
          </cell>
          <cell r="B4710" t="str">
            <v>Device History Record 20050020</v>
          </cell>
          <cell r="C4710">
            <v>0</v>
          </cell>
          <cell r="D4710">
            <v>0</v>
          </cell>
        </row>
        <row r="4711">
          <cell r="A4711" t="str">
            <v>PTR00191_B</v>
          </cell>
          <cell r="B4711" t="str">
            <v>Device History Record 20050020</v>
          </cell>
          <cell r="C4711">
            <v>0</v>
          </cell>
          <cell r="D4711">
            <v>0</v>
          </cell>
        </row>
        <row r="4712">
          <cell r="A4712" t="str">
            <v>PTR00194_C</v>
          </cell>
          <cell r="B4712" t="str">
            <v>Device History Record 20046120-D</v>
          </cell>
          <cell r="C4712">
            <v>-440</v>
          </cell>
          <cell r="D4712">
            <v>0</v>
          </cell>
        </row>
        <row r="4713">
          <cell r="A4713" t="str">
            <v>PTR00194_D</v>
          </cell>
          <cell r="B4713" t="str">
            <v>Device History Record 20046120-D</v>
          </cell>
          <cell r="C4713">
            <v>-192</v>
          </cell>
          <cell r="D4713">
            <v>0</v>
          </cell>
        </row>
        <row r="4714">
          <cell r="A4714" t="str">
            <v>PTR00194_E</v>
          </cell>
          <cell r="B4714" t="str">
            <v>Device History Record 20046120-D</v>
          </cell>
          <cell r="C4714">
            <v>-1025</v>
          </cell>
          <cell r="D4714">
            <v>0</v>
          </cell>
        </row>
        <row r="4715">
          <cell r="A4715" t="str">
            <v>PTR00194_F</v>
          </cell>
          <cell r="B4715" t="str">
            <v>Device History Record 20046120-D</v>
          </cell>
          <cell r="C4715">
            <v>-200</v>
          </cell>
          <cell r="D4715">
            <v>0</v>
          </cell>
        </row>
        <row r="4716">
          <cell r="A4716" t="str">
            <v>PTR00194_G</v>
          </cell>
          <cell r="B4716" t="str">
            <v>Device History Record 20046120-D</v>
          </cell>
          <cell r="C4716">
            <v>-532</v>
          </cell>
          <cell r="D4716">
            <v>0</v>
          </cell>
        </row>
        <row r="4717">
          <cell r="A4717" t="str">
            <v>PTR00194_H</v>
          </cell>
          <cell r="B4717" t="str">
            <v>Device History Record 20046120-D</v>
          </cell>
          <cell r="C4717">
            <v>-358</v>
          </cell>
          <cell r="D4717">
            <v>0</v>
          </cell>
        </row>
        <row r="4718">
          <cell r="A4718" t="str">
            <v>PTR00195_A</v>
          </cell>
          <cell r="B4718" t="str">
            <v>Device History Record MCD Medical Line VEIO.vis</v>
          </cell>
          <cell r="C4718">
            <v>0</v>
          </cell>
          <cell r="D4718">
            <v>0</v>
          </cell>
        </row>
        <row r="4719">
          <cell r="A4719" t="str">
            <v>PTR00195_B</v>
          </cell>
          <cell r="B4719" t="str">
            <v>Device History Record MCD Medical Line VEIO.vis</v>
          </cell>
          <cell r="C4719">
            <v>-4</v>
          </cell>
          <cell r="D4719">
            <v>0</v>
          </cell>
        </row>
        <row r="4720">
          <cell r="A4720" t="str">
            <v>PTR00195_C</v>
          </cell>
          <cell r="B4720" t="str">
            <v>Device History Record MCD Medical Line VEIO.vis</v>
          </cell>
          <cell r="C4720">
            <v>-8</v>
          </cell>
          <cell r="D4720">
            <v>0</v>
          </cell>
        </row>
        <row r="4721">
          <cell r="A4721" t="str">
            <v>PTR00197_C</v>
          </cell>
          <cell r="B4721" t="str">
            <v>Device History Record 20205701-140</v>
          </cell>
          <cell r="C4721">
            <v>0</v>
          </cell>
          <cell r="D4721">
            <v>0</v>
          </cell>
        </row>
        <row r="4722">
          <cell r="A4722" t="str">
            <v>PTR00197_E</v>
          </cell>
          <cell r="B4722" t="str">
            <v>Device History Record 20205701-140</v>
          </cell>
          <cell r="C4722">
            <v>0</v>
          </cell>
          <cell r="D4722">
            <v>0</v>
          </cell>
        </row>
        <row r="4723">
          <cell r="A4723" t="str">
            <v>PTR00197_H</v>
          </cell>
          <cell r="B4723" t="str">
            <v>Device History Record 20205701-140</v>
          </cell>
          <cell r="C4723">
            <v>0</v>
          </cell>
          <cell r="D4723">
            <v>0</v>
          </cell>
        </row>
        <row r="4724">
          <cell r="A4724" t="str">
            <v>PTR00197_I</v>
          </cell>
          <cell r="B4724" t="str">
            <v>Device History Record 20205701-140</v>
          </cell>
          <cell r="C4724">
            <v>0</v>
          </cell>
          <cell r="D4724">
            <v>0</v>
          </cell>
        </row>
        <row r="4725">
          <cell r="A4725" t="str">
            <v>PTR00197_J</v>
          </cell>
          <cell r="B4725" t="str">
            <v>Device History Record 20205701-140</v>
          </cell>
          <cell r="C4725">
            <v>0</v>
          </cell>
          <cell r="D4725">
            <v>0</v>
          </cell>
        </row>
        <row r="4726">
          <cell r="A4726" t="str">
            <v>PTR00197_K</v>
          </cell>
          <cell r="B4726" t="str">
            <v>Device History Record 20205701-140</v>
          </cell>
          <cell r="C4726">
            <v>0</v>
          </cell>
          <cell r="D4726">
            <v>0</v>
          </cell>
        </row>
        <row r="4727">
          <cell r="A4727" t="str">
            <v>PTR00197_L</v>
          </cell>
          <cell r="B4727" t="str">
            <v>Device History Record 20205701-140</v>
          </cell>
          <cell r="C4727">
            <v>0</v>
          </cell>
          <cell r="D4727">
            <v>0</v>
          </cell>
        </row>
        <row r="4728">
          <cell r="A4728" t="str">
            <v>PTR00197_M</v>
          </cell>
          <cell r="B4728" t="str">
            <v>Device History Record 20205701-140</v>
          </cell>
          <cell r="C4728">
            <v>0</v>
          </cell>
          <cell r="D4728">
            <v>0</v>
          </cell>
        </row>
        <row r="4729">
          <cell r="A4729" t="str">
            <v>PTR00198_C</v>
          </cell>
          <cell r="B4729" t="str">
            <v>Device History Record 20205702-1</v>
          </cell>
          <cell r="C4729">
            <v>-1</v>
          </cell>
          <cell r="D4729">
            <v>0</v>
          </cell>
        </row>
        <row r="4730">
          <cell r="A4730" t="str">
            <v>PTR00198_E</v>
          </cell>
          <cell r="B4730" t="str">
            <v>Device History Record 20205702-1</v>
          </cell>
          <cell r="C4730">
            <v>0</v>
          </cell>
          <cell r="D4730">
            <v>0</v>
          </cell>
        </row>
        <row r="4731">
          <cell r="A4731" t="str">
            <v>PTR00198_H</v>
          </cell>
          <cell r="B4731" t="str">
            <v>Device History Record 20205702-1</v>
          </cell>
          <cell r="C4731">
            <v>0</v>
          </cell>
          <cell r="D4731">
            <v>0</v>
          </cell>
        </row>
        <row r="4732">
          <cell r="A4732" t="str">
            <v>PTR00198_J</v>
          </cell>
          <cell r="B4732" t="str">
            <v>Device History Record 20205702-1</v>
          </cell>
          <cell r="C4732">
            <v>0</v>
          </cell>
          <cell r="D4732">
            <v>0</v>
          </cell>
        </row>
        <row r="4733">
          <cell r="A4733" t="str">
            <v>PTR00198_K</v>
          </cell>
          <cell r="B4733" t="str">
            <v>Device History Record 20205702-1</v>
          </cell>
          <cell r="C4733">
            <v>0</v>
          </cell>
          <cell r="D4733">
            <v>0</v>
          </cell>
        </row>
        <row r="4734">
          <cell r="A4734" t="str">
            <v>PTR00198_L</v>
          </cell>
          <cell r="B4734" t="str">
            <v>Device History Record 20205702-1</v>
          </cell>
          <cell r="C4734">
            <v>0</v>
          </cell>
          <cell r="D4734">
            <v>0</v>
          </cell>
        </row>
        <row r="4735">
          <cell r="A4735" t="str">
            <v>PTR00199_C</v>
          </cell>
          <cell r="B4735" t="str">
            <v>Device History Record 20048020</v>
          </cell>
          <cell r="C4735">
            <v>-99</v>
          </cell>
          <cell r="D4735">
            <v>0</v>
          </cell>
        </row>
        <row r="4736">
          <cell r="A4736" t="str">
            <v>PTR00199_D</v>
          </cell>
          <cell r="B4736" t="str">
            <v>Device History Record 20048020</v>
          </cell>
          <cell r="C4736">
            <v>-161</v>
          </cell>
          <cell r="D4736">
            <v>0</v>
          </cell>
        </row>
        <row r="4737">
          <cell r="A4737" t="str">
            <v>PTR00200_A</v>
          </cell>
          <cell r="B4737" t="str">
            <v>Device History Record 20097120-1C</v>
          </cell>
          <cell r="C4737">
            <v>-247</v>
          </cell>
          <cell r="D4737">
            <v>0</v>
          </cell>
        </row>
        <row r="4738">
          <cell r="A4738" t="str">
            <v>PTR00200_B</v>
          </cell>
          <cell r="B4738" t="str">
            <v>Device History Record 20097120-1C</v>
          </cell>
          <cell r="C4738">
            <v>-32</v>
          </cell>
          <cell r="D4738">
            <v>0</v>
          </cell>
        </row>
        <row r="4739">
          <cell r="A4739" t="str">
            <v>PTR00200_C</v>
          </cell>
          <cell r="B4739" t="str">
            <v>Device History Record 20097120-1C</v>
          </cell>
          <cell r="C4739">
            <v>-419</v>
          </cell>
          <cell r="D4739">
            <v>0</v>
          </cell>
        </row>
        <row r="4740">
          <cell r="A4740" t="str">
            <v>PTR00201_B</v>
          </cell>
          <cell r="B4740" t="str">
            <v>DHR AESCU.certus Stand-Version</v>
          </cell>
          <cell r="C4740">
            <v>-13</v>
          </cell>
          <cell r="D4740">
            <v>0</v>
          </cell>
        </row>
        <row r="4741">
          <cell r="A4741" t="str">
            <v>PTR00202_A</v>
          </cell>
          <cell r="B4741" t="str">
            <v>DHR Desktop-Version AESCU.certus2 non-USV</v>
          </cell>
          <cell r="C4741">
            <v>-9</v>
          </cell>
          <cell r="D4741">
            <v>0</v>
          </cell>
        </row>
        <row r="4742">
          <cell r="A4742" t="str">
            <v>PTR00202_B</v>
          </cell>
          <cell r="B4742" t="str">
            <v>DHR Desktop-Version AESCU.certus2 non-USV</v>
          </cell>
          <cell r="C4742">
            <v>-13</v>
          </cell>
          <cell r="D4742">
            <v>0</v>
          </cell>
        </row>
        <row r="4743">
          <cell r="A4743" t="str">
            <v>PTR00202_C</v>
          </cell>
          <cell r="B4743" t="str">
            <v>DHR AESCU.certus2 Desktop non-USV</v>
          </cell>
          <cell r="C4743">
            <v>-77</v>
          </cell>
          <cell r="D4743">
            <v>0</v>
          </cell>
        </row>
        <row r="4744">
          <cell r="A4744" t="str">
            <v>PTR00202_D</v>
          </cell>
          <cell r="B4744" t="str">
            <v>DHR AESCU.certus2 Desktop non-USV</v>
          </cell>
          <cell r="C4744">
            <v>-6</v>
          </cell>
          <cell r="D4744">
            <v>0</v>
          </cell>
        </row>
        <row r="4745">
          <cell r="A4745" t="str">
            <v>PTR00202_E</v>
          </cell>
          <cell r="B4745" t="str">
            <v>DHR AESCU.certus2 Desktop non-USV</v>
          </cell>
          <cell r="C4745">
            <v>-1</v>
          </cell>
          <cell r="D4745">
            <v>0</v>
          </cell>
        </row>
        <row r="4746">
          <cell r="A4746" t="str">
            <v>PTR00202_F</v>
          </cell>
          <cell r="B4746" t="str">
            <v>DHR AESCU.certus2 Desktop non-USV</v>
          </cell>
          <cell r="C4746">
            <v>-3</v>
          </cell>
          <cell r="D4746">
            <v>0</v>
          </cell>
        </row>
        <row r="4747">
          <cell r="A4747" t="str">
            <v>PTR00204_A</v>
          </cell>
          <cell r="B4747" t="str">
            <v>DHR PANA.ceia AMD Histoscanning 2</v>
          </cell>
          <cell r="C4747">
            <v>-7</v>
          </cell>
          <cell r="D4747">
            <v>0</v>
          </cell>
        </row>
        <row r="4748">
          <cell r="A4748" t="str">
            <v>PTR00204_B</v>
          </cell>
          <cell r="B4748" t="str">
            <v>DHR PANA.ceia AMD Histoscanning 2</v>
          </cell>
          <cell r="C4748">
            <v>-23</v>
          </cell>
          <cell r="D4748">
            <v>0</v>
          </cell>
        </row>
        <row r="4749">
          <cell r="A4749" t="str">
            <v>PTR00204_C</v>
          </cell>
          <cell r="B4749" t="str">
            <v>DHR PANA.ceia AMD Histoscanning 2</v>
          </cell>
          <cell r="C4749">
            <v>-26</v>
          </cell>
          <cell r="D4749">
            <v>0</v>
          </cell>
        </row>
        <row r="4750">
          <cell r="A4750" t="str">
            <v>PTR00205_A</v>
          </cell>
          <cell r="B4750" t="str">
            <v>DHR Cart AMD Histoscanning 2</v>
          </cell>
          <cell r="C4750">
            <v>-1</v>
          </cell>
          <cell r="D4750">
            <v>0</v>
          </cell>
        </row>
        <row r="4751">
          <cell r="A4751" t="str">
            <v>PTR00205_B</v>
          </cell>
          <cell r="B4751" t="str">
            <v>DHR Cart AMD Histoscanning 2</v>
          </cell>
          <cell r="C4751">
            <v>0</v>
          </cell>
          <cell r="D4751">
            <v>0</v>
          </cell>
        </row>
        <row r="4752">
          <cell r="A4752" t="str">
            <v>PTR00205_C</v>
          </cell>
          <cell r="B4752" t="str">
            <v>DHR Cart AMD Histoscanning 2</v>
          </cell>
          <cell r="C4752">
            <v>-3</v>
          </cell>
          <cell r="D4752">
            <v>0</v>
          </cell>
        </row>
        <row r="4753">
          <cell r="A4753" t="str">
            <v>PTR00207_B</v>
          </cell>
          <cell r="B4753" t="str">
            <v>DHR AESCU.certus Wand-Version</v>
          </cell>
          <cell r="C4753">
            <v>0</v>
          </cell>
          <cell r="D4753">
            <v>0</v>
          </cell>
        </row>
        <row r="4754">
          <cell r="A4754" t="str">
            <v>PTR00207_C</v>
          </cell>
          <cell r="B4754" t="str">
            <v>DHR AESCU.certus Wand-Version</v>
          </cell>
          <cell r="C4754">
            <v>-5</v>
          </cell>
          <cell r="D4754">
            <v>0</v>
          </cell>
        </row>
        <row r="4755">
          <cell r="A4755" t="str">
            <v>PTR00208_B</v>
          </cell>
          <cell r="B4755" t="str">
            <v>DHR OR1 FUSION CONTROL</v>
          </cell>
          <cell r="C4755">
            <v>-49</v>
          </cell>
          <cell r="D4755">
            <v>0</v>
          </cell>
        </row>
        <row r="4756">
          <cell r="A4756" t="str">
            <v>PTR00208_C</v>
          </cell>
          <cell r="B4756" t="str">
            <v>DHR OR1 FUSION CONTROL</v>
          </cell>
          <cell r="C4756">
            <v>-26</v>
          </cell>
          <cell r="D4756">
            <v>0</v>
          </cell>
        </row>
        <row r="4757">
          <cell r="A4757" t="str">
            <v>PTR00208_D</v>
          </cell>
          <cell r="B4757" t="str">
            <v>DHR OR1 FUSION CONTROL</v>
          </cell>
          <cell r="C4757">
            <v>-70</v>
          </cell>
          <cell r="D4757">
            <v>0</v>
          </cell>
        </row>
        <row r="4758">
          <cell r="A4758" t="str">
            <v>PTR00209_A</v>
          </cell>
          <cell r="B4758" t="str">
            <v>DHR AESCU.certus2 Wand non-USV</v>
          </cell>
          <cell r="C4758">
            <v>-9</v>
          </cell>
          <cell r="D4758">
            <v>0</v>
          </cell>
        </row>
        <row r="4759">
          <cell r="A4759" t="str">
            <v>PTR00209_B</v>
          </cell>
          <cell r="B4759" t="str">
            <v>DHR Wand-Version AESCU.certus2 non-USV</v>
          </cell>
          <cell r="C4759">
            <v>-1</v>
          </cell>
          <cell r="D4759">
            <v>0</v>
          </cell>
        </row>
        <row r="4760">
          <cell r="A4760" t="str">
            <v>PTR00209_C</v>
          </cell>
          <cell r="B4760" t="str">
            <v>DHR AESCU.certus2 Wand non-USV</v>
          </cell>
          <cell r="C4760">
            <v>0</v>
          </cell>
          <cell r="D4760">
            <v>0</v>
          </cell>
        </row>
        <row r="4761">
          <cell r="A4761" t="str">
            <v>PTR00209_D</v>
          </cell>
          <cell r="B4761" t="str">
            <v>DHR AESCU.certus2 Wand non-USV</v>
          </cell>
          <cell r="C4761">
            <v>-2</v>
          </cell>
          <cell r="D4761">
            <v>0</v>
          </cell>
        </row>
        <row r="4762">
          <cell r="A4762" t="str">
            <v>PTR00209_E</v>
          </cell>
          <cell r="B4762" t="str">
            <v>DHR AESCU.certus2 Wand non-USV</v>
          </cell>
          <cell r="C4762">
            <v>0</v>
          </cell>
          <cell r="D4762">
            <v>0</v>
          </cell>
        </row>
        <row r="4763">
          <cell r="A4763" t="str">
            <v>PTR00209_F</v>
          </cell>
          <cell r="B4763" t="str">
            <v>DHR AESCU.certus2 Wand non-USV</v>
          </cell>
          <cell r="C4763">
            <v>0</v>
          </cell>
          <cell r="D4763">
            <v>0</v>
          </cell>
        </row>
        <row r="4764">
          <cell r="A4764" t="str">
            <v>PTR00211_A</v>
          </cell>
          <cell r="B4764" t="str">
            <v>Device History Record 20205501-140</v>
          </cell>
          <cell r="C4764">
            <v>-9</v>
          </cell>
          <cell r="D4764">
            <v>0</v>
          </cell>
        </row>
        <row r="4765">
          <cell r="A4765" t="str">
            <v>PTR00213_A</v>
          </cell>
          <cell r="B4765" t="str">
            <v>Device History Record FB 7.5.3.17 Schiller DS 104</v>
          </cell>
          <cell r="C4765">
            <v>-14</v>
          </cell>
          <cell r="D4765">
            <v>0</v>
          </cell>
        </row>
        <row r="4766">
          <cell r="A4766" t="str">
            <v>PTR00213_B</v>
          </cell>
          <cell r="B4766" t="str">
            <v>Device History Record FB 7.5.3.17 Schiller DS 104</v>
          </cell>
          <cell r="C4766">
            <v>-14</v>
          </cell>
          <cell r="D4766">
            <v>0</v>
          </cell>
        </row>
        <row r="4767">
          <cell r="A4767" t="str">
            <v>PTR00213_C</v>
          </cell>
          <cell r="B4767" t="str">
            <v>Device History Record FB 7.5.3.17 Schiller DS 104</v>
          </cell>
          <cell r="C4767">
            <v>-53</v>
          </cell>
          <cell r="D4767">
            <v>0</v>
          </cell>
        </row>
        <row r="4768">
          <cell r="A4768" t="str">
            <v>PTR00213_D</v>
          </cell>
          <cell r="B4768" t="str">
            <v>Device History Record FB 7.5.3.17 Schiller DS 104</v>
          </cell>
          <cell r="C4768">
            <v>-2</v>
          </cell>
          <cell r="D4768">
            <v>0</v>
          </cell>
        </row>
        <row r="4769">
          <cell r="A4769" t="str">
            <v>PTR00214_A</v>
          </cell>
          <cell r="B4769" t="str">
            <v>Device History Record THA.leia 19" Touch PCI</v>
          </cell>
          <cell r="C4769">
            <v>-2</v>
          </cell>
          <cell r="D4769">
            <v>0</v>
          </cell>
        </row>
        <row r="4770">
          <cell r="A4770" t="str">
            <v>PTR00214_B</v>
          </cell>
          <cell r="B4770" t="str">
            <v>Device History Record THA.leia 19" Touch PCI</v>
          </cell>
          <cell r="C4770">
            <v>-4</v>
          </cell>
          <cell r="D4770">
            <v>0</v>
          </cell>
        </row>
        <row r="4771">
          <cell r="A4771" t="str">
            <v>PTR00215_A</v>
          </cell>
          <cell r="B4771" t="str">
            <v>Device History Record THA.leia 19" PCI</v>
          </cell>
          <cell r="C4771">
            <v>0</v>
          </cell>
          <cell r="D4771">
            <v>0</v>
          </cell>
        </row>
        <row r="4772">
          <cell r="A4772" t="str">
            <v>PTR00216_A</v>
          </cell>
          <cell r="B4772" t="str">
            <v>Device History Record 20205501-140</v>
          </cell>
          <cell r="C4772">
            <v>0</v>
          </cell>
          <cell r="D4772">
            <v>0</v>
          </cell>
        </row>
        <row r="4773">
          <cell r="A4773" t="str">
            <v>PTR00217_A</v>
          </cell>
          <cell r="B4773" t="str">
            <v>Device History Record 20205501-140</v>
          </cell>
          <cell r="C4773">
            <v>-1</v>
          </cell>
          <cell r="D4773">
            <v>0</v>
          </cell>
        </row>
        <row r="4774">
          <cell r="A4774" t="str">
            <v>PTR00218_A</v>
          </cell>
          <cell r="B4774" t="str">
            <v>DHR MCD Medical Line THA.leia 21,5"</v>
          </cell>
          <cell r="C4774">
            <v>-3</v>
          </cell>
          <cell r="D4774">
            <v>0</v>
          </cell>
        </row>
        <row r="4775">
          <cell r="A4775" t="str">
            <v>PTR00219_A</v>
          </cell>
          <cell r="B4775" t="str">
            <v>DHR MCD Medical Line THA.leia 21,5" Touch</v>
          </cell>
          <cell r="C4775">
            <v>-2</v>
          </cell>
          <cell r="D4775">
            <v>0</v>
          </cell>
        </row>
        <row r="4776">
          <cell r="A4776" t="str">
            <v>PTR00220_A</v>
          </cell>
          <cell r="B4776" t="str">
            <v>Device History Record PANA.ceia²</v>
          </cell>
          <cell r="C4776">
            <v>-30</v>
          </cell>
          <cell r="D4776">
            <v>0</v>
          </cell>
        </row>
        <row r="4777">
          <cell r="A4777" t="str">
            <v>PTR00220_B</v>
          </cell>
          <cell r="B4777" t="str">
            <v>Device History Record PANA.ceia²</v>
          </cell>
          <cell r="C4777">
            <v>-16</v>
          </cell>
          <cell r="D4777">
            <v>0</v>
          </cell>
        </row>
        <row r="4778">
          <cell r="A4778" t="str">
            <v>PTR00220_C</v>
          </cell>
          <cell r="B4778" t="str">
            <v>Device History Record PANA.ceia²</v>
          </cell>
          <cell r="C4778">
            <v>-64</v>
          </cell>
          <cell r="D4778">
            <v>0</v>
          </cell>
        </row>
        <row r="4779">
          <cell r="A4779" t="str">
            <v>PTR00221_A</v>
          </cell>
          <cell r="B4779" t="str">
            <v>Device History Record 063888-00</v>
          </cell>
          <cell r="C4779">
            <v>-2</v>
          </cell>
          <cell r="D4779">
            <v>0</v>
          </cell>
        </row>
        <row r="4780">
          <cell r="A4780" t="str">
            <v>PTR00221_B</v>
          </cell>
          <cell r="B4780" t="str">
            <v>Device History Record 063888-00</v>
          </cell>
          <cell r="C4780">
            <v>-45</v>
          </cell>
          <cell r="D4780">
            <v>0</v>
          </cell>
        </row>
        <row r="4781">
          <cell r="A4781" t="str">
            <v>PTR00221_C</v>
          </cell>
          <cell r="B4781" t="str">
            <v>Device History Record 063888-00</v>
          </cell>
          <cell r="C4781">
            <v>0</v>
          </cell>
          <cell r="D4781">
            <v>0</v>
          </cell>
        </row>
        <row r="4782">
          <cell r="A4782" t="str">
            <v>PTR00222_A</v>
          </cell>
          <cell r="B4782" t="str">
            <v>Device History Record 063890-00</v>
          </cell>
          <cell r="C4782">
            <v>0</v>
          </cell>
          <cell r="D4782">
            <v>0</v>
          </cell>
        </row>
        <row r="4783">
          <cell r="A4783" t="str">
            <v>PTR00224_A</v>
          </cell>
          <cell r="B4783" t="str">
            <v>Device History Record PC HistoScanning G3 Proto</v>
          </cell>
          <cell r="C4783">
            <v>-2</v>
          </cell>
          <cell r="D4783">
            <v>0</v>
          </cell>
        </row>
        <row r="4784">
          <cell r="A4784" t="str">
            <v>PTR00225_A</v>
          </cell>
          <cell r="B4784" t="str">
            <v>DHR Medical-Cardio PC i5 Schiller</v>
          </cell>
          <cell r="C4784">
            <v>-11</v>
          </cell>
          <cell r="D4784">
            <v>0</v>
          </cell>
        </row>
        <row r="4785">
          <cell r="A4785" t="str">
            <v>PTR00225_B</v>
          </cell>
          <cell r="B4785" t="str">
            <v>DHR Medical-Cardio PC i5 Schiller</v>
          </cell>
          <cell r="C4785">
            <v>-30</v>
          </cell>
          <cell r="D4785">
            <v>0</v>
          </cell>
        </row>
        <row r="4786">
          <cell r="A4786" t="str">
            <v>PTR00225_C</v>
          </cell>
          <cell r="B4786" t="str">
            <v>DHR Medical-Cardio PC i5 Schiller</v>
          </cell>
          <cell r="C4786">
            <v>-50</v>
          </cell>
          <cell r="D4786">
            <v>0</v>
          </cell>
        </row>
        <row r="4787">
          <cell r="A4787" t="str">
            <v>PTR00226_A</v>
          </cell>
          <cell r="B4787" t="str">
            <v>DHR AMD HistoScanning G3 PC</v>
          </cell>
          <cell r="C4787">
            <v>-5</v>
          </cell>
          <cell r="D4787">
            <v>0</v>
          </cell>
        </row>
        <row r="4788">
          <cell r="A4788" t="str">
            <v>PTR00226_B</v>
          </cell>
          <cell r="B4788" t="str">
            <v>DHR AMD HistoScanning G3 PC</v>
          </cell>
          <cell r="C4788">
            <v>-3</v>
          </cell>
          <cell r="D4788">
            <v>0</v>
          </cell>
        </row>
        <row r="4789">
          <cell r="A4789" t="str">
            <v>PTR00226_C</v>
          </cell>
          <cell r="B4789" t="str">
            <v>DHR AMD HistoScanning G3 PC</v>
          </cell>
          <cell r="C4789">
            <v>-3</v>
          </cell>
          <cell r="D4789">
            <v>0</v>
          </cell>
        </row>
        <row r="4790">
          <cell r="A4790" t="str">
            <v>PTR00227_A</v>
          </cell>
          <cell r="B4790" t="str">
            <v>DHR AMD HistoScanning G3 Cart</v>
          </cell>
          <cell r="C4790">
            <v>-4</v>
          </cell>
          <cell r="D4790">
            <v>0</v>
          </cell>
        </row>
        <row r="4791">
          <cell r="A4791" t="str">
            <v>PTR00227_B</v>
          </cell>
          <cell r="B4791" t="str">
            <v>DHR AMD HistoScanning G3 Cart</v>
          </cell>
          <cell r="C4791">
            <v>-3</v>
          </cell>
          <cell r="D4791">
            <v>0</v>
          </cell>
        </row>
        <row r="4792">
          <cell r="A4792" t="str">
            <v>PTR00227_C</v>
          </cell>
          <cell r="B4792" t="str">
            <v>DHR AMD HistoScanning G3 Cart</v>
          </cell>
          <cell r="C4792">
            <v>-1</v>
          </cell>
          <cell r="D4792">
            <v>0</v>
          </cell>
        </row>
        <row r="4793">
          <cell r="A4793" t="str">
            <v>PTR00227_D</v>
          </cell>
          <cell r="B4793" t="str">
            <v>DHR AMD HistoScanning G3 Cart</v>
          </cell>
          <cell r="C4793">
            <v>-2</v>
          </cell>
          <cell r="D4793">
            <v>0</v>
          </cell>
        </row>
        <row r="4794">
          <cell r="A4794" t="str">
            <v>PTR00228_A</v>
          </cell>
          <cell r="B4794" t="str">
            <v>DHR AESCU.certus² UKF</v>
          </cell>
          <cell r="C4794">
            <v>-1</v>
          </cell>
          <cell r="D4794">
            <v>0</v>
          </cell>
        </row>
        <row r="4795">
          <cell r="A4795" t="str">
            <v>PTR00229_A</v>
          </cell>
          <cell r="B4795" t="str">
            <v>DHR OMNI.view 21,5" non-Touch</v>
          </cell>
          <cell r="C4795">
            <v>-84</v>
          </cell>
          <cell r="D4795">
            <v>0</v>
          </cell>
        </row>
        <row r="4796">
          <cell r="A4796" t="str">
            <v>PTR00230_A</v>
          </cell>
          <cell r="B4796" t="str">
            <v>DHR OMNI.view 21,5" Touch</v>
          </cell>
          <cell r="C4796">
            <v>-10</v>
          </cell>
          <cell r="D4796">
            <v>0</v>
          </cell>
        </row>
        <row r="4797">
          <cell r="A4797" t="str">
            <v>PTR00231_A</v>
          </cell>
          <cell r="B4797" t="str">
            <v>Device History Record THA.leia 19" NON-TOUCH</v>
          </cell>
          <cell r="C4797">
            <v>0</v>
          </cell>
          <cell r="D4797">
            <v>0</v>
          </cell>
        </row>
        <row r="4798">
          <cell r="A4798" t="str">
            <v>PTR00232_A</v>
          </cell>
          <cell r="B4798" t="str">
            <v>Device History Record THA.leia 19" TOUCH</v>
          </cell>
          <cell r="C4798">
            <v>0</v>
          </cell>
          <cell r="D4798">
            <v>0</v>
          </cell>
        </row>
        <row r="4799">
          <cell r="A4799" t="str">
            <v>PTR00233_A</v>
          </cell>
          <cell r="B4799" t="str">
            <v>DHR Wand-Version AESCU.mobilus² PC</v>
          </cell>
          <cell r="C4799">
            <v>-1</v>
          </cell>
          <cell r="D4799">
            <v>0</v>
          </cell>
        </row>
        <row r="4800">
          <cell r="A4800" t="str">
            <v>PTR00234_A</v>
          </cell>
          <cell r="B4800" t="str">
            <v>DHR Wand-Version AESCU.mobilus² Cart inkl. PC</v>
          </cell>
          <cell r="C4800">
            <v>-1</v>
          </cell>
          <cell r="D4800">
            <v>0</v>
          </cell>
        </row>
        <row r="4801">
          <cell r="A4801" t="str">
            <v>PTR00235_A</v>
          </cell>
          <cell r="B4801" t="str">
            <v>DHR AIDA FUSION WD200</v>
          </cell>
          <cell r="C4801">
            <v>-14</v>
          </cell>
          <cell r="D4801">
            <v>0</v>
          </cell>
        </row>
        <row r="4802">
          <cell r="A4802" t="str">
            <v>PTR00236_A</v>
          </cell>
          <cell r="B4802" t="str">
            <v>DHR KST REMOTE BOX</v>
          </cell>
          <cell r="C4802">
            <v>0</v>
          </cell>
          <cell r="D4802">
            <v>0</v>
          </cell>
        </row>
        <row r="4803">
          <cell r="A4803" t="str">
            <v>SB_P120</v>
          </cell>
          <cell r="B4803" t="str">
            <v>SlimBook</v>
          </cell>
          <cell r="C4803">
            <v>0</v>
          </cell>
          <cell r="D4803">
            <v>0</v>
          </cell>
        </row>
        <row r="4804">
          <cell r="A4804" t="str">
            <v>SD-1000</v>
          </cell>
          <cell r="B4804" t="str">
            <v>Tulip Silent Desktop SD-1000 "schwarz/silber"</v>
          </cell>
          <cell r="C4804">
            <v>0</v>
          </cell>
          <cell r="D4804">
            <v>0</v>
          </cell>
        </row>
        <row r="4805">
          <cell r="A4805" t="str">
            <v>SD-1100</v>
          </cell>
          <cell r="B4805" t="str">
            <v>MCD Vision Line SD-1100 Schwarz</v>
          </cell>
          <cell r="C4805">
            <v>0</v>
          </cell>
          <cell r="D4805">
            <v>0</v>
          </cell>
        </row>
        <row r="4806">
          <cell r="A4806" t="str">
            <v>SR-1200</v>
          </cell>
          <cell r="B4806" t="str">
            <v>MCD Vision Line SR-1200</v>
          </cell>
          <cell r="C4806">
            <v>0</v>
          </cell>
          <cell r="D4806">
            <v>485</v>
          </cell>
        </row>
        <row r="4807">
          <cell r="A4807" t="str">
            <v>SR-1300</v>
          </cell>
          <cell r="B4807" t="str">
            <v>MCD Vision Line SR-1300</v>
          </cell>
          <cell r="C4807">
            <v>0</v>
          </cell>
          <cell r="D4807">
            <v>0</v>
          </cell>
        </row>
        <row r="4808">
          <cell r="A4808" t="str">
            <v>SR945P</v>
          </cell>
          <cell r="B4808" t="str">
            <v>Tulip Direction Line SR 945P</v>
          </cell>
          <cell r="C4808">
            <v>0</v>
          </cell>
          <cell r="D4808">
            <v>0</v>
          </cell>
        </row>
        <row r="4809">
          <cell r="A4809" t="str">
            <v>T100144</v>
          </cell>
          <cell r="B4809" t="str">
            <v>Basis Modell DR AF2LX</v>
          </cell>
          <cell r="C4809">
            <v>0</v>
          </cell>
          <cell r="D4809">
            <v>1250</v>
          </cell>
        </row>
        <row r="4810">
          <cell r="A4810" t="str">
            <v>T100146</v>
          </cell>
          <cell r="B4810" t="str">
            <v>Basis Modell SR SP2</v>
          </cell>
          <cell r="C4810">
            <v>0</v>
          </cell>
          <cell r="D4810">
            <v>500</v>
          </cell>
        </row>
        <row r="4811">
          <cell r="A4811" t="str">
            <v>T100150</v>
          </cell>
          <cell r="B4811" t="str">
            <v>Basis Modell CR JR2ATA</v>
          </cell>
          <cell r="C4811">
            <v>0</v>
          </cell>
          <cell r="D4811">
            <v>1004.9</v>
          </cell>
        </row>
        <row r="4812">
          <cell r="A4812" t="str">
            <v>T100155</v>
          </cell>
          <cell r="B4812" t="str">
            <v>Basis Modell MPM 900</v>
          </cell>
          <cell r="C4812">
            <v>0</v>
          </cell>
          <cell r="D4812">
            <v>293.55</v>
          </cell>
        </row>
        <row r="4813">
          <cell r="A4813" t="str">
            <v>T100169</v>
          </cell>
          <cell r="B4813" t="str">
            <v>Tulip Medical MPM 900 Schiller Standard</v>
          </cell>
          <cell r="C4813">
            <v>0</v>
          </cell>
          <cell r="D4813">
            <v>699</v>
          </cell>
        </row>
        <row r="4814">
          <cell r="A4814" t="str">
            <v>T100170</v>
          </cell>
          <cell r="B4814" t="str">
            <v>Tulip Medical MPM 900 Schiller groß</v>
          </cell>
          <cell r="C4814">
            <v>0</v>
          </cell>
          <cell r="D4814">
            <v>750</v>
          </cell>
        </row>
        <row r="4815">
          <cell r="A4815" t="str">
            <v>T100171</v>
          </cell>
          <cell r="B4815" t="str">
            <v>Basis Modell SR 945P</v>
          </cell>
          <cell r="C4815">
            <v>0</v>
          </cell>
          <cell r="D4815">
            <v>384.6</v>
          </cell>
        </row>
        <row r="4816">
          <cell r="A4816" t="str">
            <v>T100172</v>
          </cell>
          <cell r="B4816" t="str">
            <v>Basis Modell ER-1200</v>
          </cell>
          <cell r="C4816">
            <v>0</v>
          </cell>
          <cell r="D4816">
            <v>310</v>
          </cell>
        </row>
        <row r="4817">
          <cell r="A4817" t="str">
            <v>T100173</v>
          </cell>
          <cell r="B4817" t="str">
            <v>Basis Modell XM-1200</v>
          </cell>
          <cell r="C4817">
            <v>0</v>
          </cell>
          <cell r="D4817">
            <v>197.48</v>
          </cell>
        </row>
        <row r="4818">
          <cell r="A4818" t="str">
            <v>T100174</v>
          </cell>
          <cell r="B4818" t="str">
            <v>Basis Modell XM 945P Schwarz</v>
          </cell>
          <cell r="C4818">
            <v>0</v>
          </cell>
          <cell r="D4818">
            <v>162.1</v>
          </cell>
        </row>
        <row r="4819">
          <cell r="A4819" t="str">
            <v>T100175</v>
          </cell>
          <cell r="B4819" t="str">
            <v>Basis Modell BT</v>
          </cell>
          <cell r="C4819">
            <v>0</v>
          </cell>
          <cell r="D4819">
            <v>163</v>
          </cell>
        </row>
        <row r="4820">
          <cell r="A4820" t="str">
            <v>T100182</v>
          </cell>
          <cell r="B4820" t="str">
            <v>MCD Vision Line BD_P5GV</v>
          </cell>
          <cell r="C4820">
            <v>0</v>
          </cell>
          <cell r="D4820">
            <v>383.4</v>
          </cell>
        </row>
        <row r="4821">
          <cell r="A4821" t="str">
            <v>T100188</v>
          </cell>
          <cell r="B4821" t="str">
            <v>Basis Modell BT 151</v>
          </cell>
          <cell r="C4821">
            <v>0</v>
          </cell>
          <cell r="D4821">
            <v>181</v>
          </cell>
        </row>
        <row r="4822">
          <cell r="A4822" t="str">
            <v>T100190</v>
          </cell>
          <cell r="B4822" t="str">
            <v>Basis Modell STORZ OR1 control</v>
          </cell>
          <cell r="C4822">
            <v>0</v>
          </cell>
          <cell r="D4822">
            <v>582</v>
          </cell>
        </row>
        <row r="4823">
          <cell r="A4823" t="str">
            <v>T100191</v>
          </cell>
          <cell r="B4823" t="str">
            <v>Basis Modell STORZ AIDA control</v>
          </cell>
          <cell r="C4823">
            <v>0</v>
          </cell>
          <cell r="D4823">
            <v>582</v>
          </cell>
        </row>
        <row r="4824">
          <cell r="A4824" t="str">
            <v>T100191-2</v>
          </cell>
          <cell r="B4824" t="str">
            <v>Basis Modell MPD-1000 Schwarz</v>
          </cell>
          <cell r="C4824">
            <v>0</v>
          </cell>
          <cell r="D4824">
            <v>419</v>
          </cell>
        </row>
        <row r="4825">
          <cell r="A4825" t="str">
            <v>T100192</v>
          </cell>
          <cell r="B4825" t="str">
            <v>Basis Modell SD-1000 schwarz/silber</v>
          </cell>
          <cell r="C4825">
            <v>0</v>
          </cell>
          <cell r="D4825">
            <v>248.5</v>
          </cell>
        </row>
        <row r="4826">
          <cell r="A4826" t="str">
            <v>T100193</v>
          </cell>
          <cell r="B4826" t="str">
            <v>Basis Modell SD-1000 beige/silber</v>
          </cell>
          <cell r="C4826">
            <v>0</v>
          </cell>
          <cell r="D4826">
            <v>275</v>
          </cell>
        </row>
        <row r="4827">
          <cell r="A4827" t="str">
            <v>T100194</v>
          </cell>
          <cell r="B4827" t="str">
            <v>Basis Modell MPD-1000 Beige</v>
          </cell>
          <cell r="C4827">
            <v>0</v>
          </cell>
          <cell r="D4827">
            <v>419</v>
          </cell>
        </row>
        <row r="4828">
          <cell r="A4828" t="str">
            <v>T100195</v>
          </cell>
          <cell r="B4828" t="str">
            <v>Basis Modell MPM-1000</v>
          </cell>
          <cell r="C4828">
            <v>0</v>
          </cell>
          <cell r="D4828">
            <v>415</v>
          </cell>
        </row>
        <row r="4829">
          <cell r="A4829" t="str">
            <v>T100196</v>
          </cell>
          <cell r="B4829" t="str">
            <v>Basis Modell SD-1100 Schwarz</v>
          </cell>
          <cell r="C4829">
            <v>0</v>
          </cell>
          <cell r="D4829">
            <v>175</v>
          </cell>
        </row>
        <row r="4830">
          <cell r="A4830" t="str">
            <v>T100197</v>
          </cell>
          <cell r="B4830" t="str">
            <v>Basis Modell MPD-1100 Schwarz</v>
          </cell>
          <cell r="C4830">
            <v>0</v>
          </cell>
          <cell r="D4830">
            <v>450</v>
          </cell>
        </row>
        <row r="4831">
          <cell r="A4831" t="str">
            <v>T100198</v>
          </cell>
          <cell r="B4831" t="str">
            <v>Basis Modell MPD-1100 Beige</v>
          </cell>
          <cell r="C4831">
            <v>0</v>
          </cell>
          <cell r="D4831">
            <v>450</v>
          </cell>
        </row>
        <row r="4832">
          <cell r="A4832" t="str">
            <v>T100199</v>
          </cell>
          <cell r="B4832" t="str">
            <v>Basis Modell MR-1100</v>
          </cell>
          <cell r="C4832">
            <v>0</v>
          </cell>
          <cell r="D4832">
            <v>420</v>
          </cell>
        </row>
        <row r="4833">
          <cell r="A4833" t="str">
            <v>T100200</v>
          </cell>
          <cell r="B4833" t="str">
            <v>Basis Modell MCD Vision Line SR-1200</v>
          </cell>
          <cell r="C4833">
            <v>0</v>
          </cell>
          <cell r="D4833">
            <v>510</v>
          </cell>
        </row>
        <row r="4834">
          <cell r="A4834" t="str">
            <v>T100201</v>
          </cell>
          <cell r="B4834" t="str">
            <v>Basis Modell MCD O Vision Line BT-151</v>
          </cell>
          <cell r="C4834">
            <v>0</v>
          </cell>
          <cell r="D4834">
            <v>335</v>
          </cell>
        </row>
        <row r="4835">
          <cell r="A4835" t="str">
            <v>T100202</v>
          </cell>
          <cell r="B4835" t="str">
            <v>Basis Modell  BT-152</v>
          </cell>
          <cell r="C4835">
            <v>0</v>
          </cell>
          <cell r="D4835">
            <v>168.7</v>
          </cell>
        </row>
        <row r="4836">
          <cell r="A4836" t="str">
            <v>T100203</v>
          </cell>
          <cell r="B4836" t="str">
            <v>Basis Modell  SR-1300</v>
          </cell>
          <cell r="C4836">
            <v>0</v>
          </cell>
          <cell r="D4836">
            <v>478.13</v>
          </cell>
        </row>
        <row r="4837">
          <cell r="A4837" t="str">
            <v>T100204</v>
          </cell>
          <cell r="B4837" t="str">
            <v>Basis Modell XM-152</v>
          </cell>
          <cell r="C4837">
            <v>0</v>
          </cell>
          <cell r="D4837">
            <v>151.75</v>
          </cell>
        </row>
        <row r="4838">
          <cell r="A4838" t="str">
            <v>T100205</v>
          </cell>
          <cell r="B4838" t="str">
            <v>Basis Modell DR-2100</v>
          </cell>
          <cell r="C4838">
            <v>0</v>
          </cell>
          <cell r="D4838">
            <v>1300</v>
          </cell>
        </row>
        <row r="4839">
          <cell r="A4839" t="str">
            <v>T100206</v>
          </cell>
          <cell r="B4839" t="str">
            <v>Basis Modell/Komponenten XION-MATRIX-DS</v>
          </cell>
          <cell r="C4839">
            <v>0</v>
          </cell>
          <cell r="D4839">
            <v>850</v>
          </cell>
        </row>
        <row r="4840">
          <cell r="A4840" t="str">
            <v>T100207</v>
          </cell>
          <cell r="B4840" t="str">
            <v>Basis Modell PANA.ceia</v>
          </cell>
          <cell r="C4840">
            <v>0</v>
          </cell>
          <cell r="D4840">
            <v>438.1</v>
          </cell>
        </row>
        <row r="4841">
          <cell r="A4841" t="str">
            <v>T100209</v>
          </cell>
          <cell r="B4841" t="str">
            <v>Basis Modell Schiller DS104</v>
          </cell>
          <cell r="C4841">
            <v>0</v>
          </cell>
          <cell r="D4841">
            <v>515</v>
          </cell>
        </row>
        <row r="4842">
          <cell r="A4842" t="str">
            <v>T100210</v>
          </cell>
          <cell r="B4842" t="str">
            <v>Basis Modell Schiller DS104-Ergospiro</v>
          </cell>
          <cell r="C4842">
            <v>0</v>
          </cell>
          <cell r="D4842">
            <v>466.9</v>
          </cell>
        </row>
        <row r="4843">
          <cell r="A4843" t="str">
            <v>T100211</v>
          </cell>
          <cell r="B4843" t="str">
            <v>MCD Medical Line mpm_1000 CompWare</v>
          </cell>
          <cell r="C4843">
            <v>0</v>
          </cell>
          <cell r="D4843">
            <v>682</v>
          </cell>
        </row>
        <row r="4844">
          <cell r="A4844" t="str">
            <v>T100212</v>
          </cell>
          <cell r="B4844" t="str">
            <v>MCD Medical Line PANA.ceia_Wagner</v>
          </cell>
          <cell r="C4844">
            <v>0</v>
          </cell>
          <cell r="D4844">
            <v>700</v>
          </cell>
        </row>
        <row r="4845">
          <cell r="A4845" t="str">
            <v>T100214</v>
          </cell>
          <cell r="B4845" t="str">
            <v>Basis Modell PANA.ceia Alphatron</v>
          </cell>
          <cell r="C4845">
            <v>0</v>
          </cell>
          <cell r="D4845">
            <v>495</v>
          </cell>
        </row>
        <row r="4846">
          <cell r="A4846" t="str">
            <v>T100215</v>
          </cell>
          <cell r="B4846" t="str">
            <v>MCD Medical Line PANA.ceia</v>
          </cell>
          <cell r="C4846">
            <v>0</v>
          </cell>
          <cell r="D4846">
            <v>477.91</v>
          </cell>
        </row>
        <row r="4847">
          <cell r="A4847" t="str">
            <v>T100215_B</v>
          </cell>
          <cell r="B4847" t="str">
            <v>MCD Medical Line PANA.ceia</v>
          </cell>
          <cell r="C4847">
            <v>0</v>
          </cell>
          <cell r="D4847">
            <v>0</v>
          </cell>
        </row>
        <row r="4848">
          <cell r="A4848" t="str">
            <v>T100215_C</v>
          </cell>
          <cell r="B4848" t="str">
            <v>MCD Medical Line PANA.ceia</v>
          </cell>
          <cell r="C4848">
            <v>0</v>
          </cell>
          <cell r="D4848">
            <v>0</v>
          </cell>
        </row>
        <row r="4849">
          <cell r="A4849" t="str">
            <v>T100215_D</v>
          </cell>
          <cell r="B4849" t="str">
            <v>MCD Medical Line PANA.ceia</v>
          </cell>
          <cell r="C4849">
            <v>0</v>
          </cell>
          <cell r="D4849">
            <v>0</v>
          </cell>
        </row>
        <row r="4850">
          <cell r="A4850" t="str">
            <v>T100215_E</v>
          </cell>
          <cell r="B4850" t="str">
            <v>MCD Medical Line PANA.ceia</v>
          </cell>
          <cell r="C4850">
            <v>0</v>
          </cell>
          <cell r="D4850">
            <v>0</v>
          </cell>
        </row>
        <row r="4851">
          <cell r="A4851" t="str">
            <v>T100215_F</v>
          </cell>
          <cell r="B4851" t="str">
            <v>MCD Medical Line PANA.ceia</v>
          </cell>
          <cell r="C4851">
            <v>0</v>
          </cell>
          <cell r="D4851">
            <v>0</v>
          </cell>
        </row>
        <row r="4852">
          <cell r="A4852" t="str">
            <v>T100215_G</v>
          </cell>
          <cell r="B4852" t="str">
            <v>MCD Medical Line PANA.ceia</v>
          </cell>
          <cell r="C4852">
            <v>0</v>
          </cell>
          <cell r="D4852">
            <v>0</v>
          </cell>
        </row>
        <row r="4853">
          <cell r="A4853" t="str">
            <v>T100216</v>
          </cell>
          <cell r="B4853" t="str">
            <v>MCD Medical PC Schiller DS 104</v>
          </cell>
          <cell r="C4853">
            <v>0</v>
          </cell>
          <cell r="D4853">
            <v>488.65</v>
          </cell>
        </row>
        <row r="4854">
          <cell r="A4854" t="str">
            <v>T100216_B</v>
          </cell>
          <cell r="B4854" t="str">
            <v>Medical Cardio PC Schiller DS104 DE</v>
          </cell>
          <cell r="C4854">
            <v>0</v>
          </cell>
          <cell r="D4854">
            <v>0</v>
          </cell>
        </row>
        <row r="4855">
          <cell r="A4855" t="str">
            <v>T100216_C</v>
          </cell>
          <cell r="B4855" t="str">
            <v>Medical Cardio PC Schiller DS104 DE</v>
          </cell>
          <cell r="C4855">
            <v>0</v>
          </cell>
          <cell r="D4855">
            <v>756</v>
          </cell>
        </row>
        <row r="4856">
          <cell r="A4856" t="str">
            <v>T100216_D</v>
          </cell>
          <cell r="B4856" t="str">
            <v>Medical Cardio PC Schiller DS104 DE</v>
          </cell>
          <cell r="C4856">
            <v>0</v>
          </cell>
          <cell r="D4856">
            <v>879</v>
          </cell>
        </row>
        <row r="4857">
          <cell r="A4857" t="str">
            <v>T100216_E</v>
          </cell>
          <cell r="B4857" t="str">
            <v>Medical Cardio PC Schiller DS104 DE</v>
          </cell>
          <cell r="C4857">
            <v>0</v>
          </cell>
          <cell r="D4857">
            <v>876.7</v>
          </cell>
        </row>
        <row r="4858">
          <cell r="A4858" t="str">
            <v>T100216_F</v>
          </cell>
          <cell r="B4858" t="str">
            <v>Medical Cardio PC Schiller DS104 DE</v>
          </cell>
          <cell r="C4858">
            <v>0</v>
          </cell>
          <cell r="D4858">
            <v>876.7</v>
          </cell>
        </row>
        <row r="4859">
          <cell r="A4859" t="str">
            <v>T100217</v>
          </cell>
          <cell r="B4859" t="str">
            <v>MCD Vision Line BT_Medset005</v>
          </cell>
          <cell r="C4859">
            <v>0</v>
          </cell>
          <cell r="D4859">
            <v>509</v>
          </cell>
        </row>
        <row r="4860">
          <cell r="A4860" t="str">
            <v>T100218</v>
          </cell>
          <cell r="B4860" t="str">
            <v>MCD Medical Line VEIO.vis</v>
          </cell>
          <cell r="C4860">
            <v>0</v>
          </cell>
          <cell r="D4860">
            <v>495.71</v>
          </cell>
        </row>
        <row r="4861">
          <cell r="A4861" t="str">
            <v>T100218_A</v>
          </cell>
          <cell r="B4861" t="str">
            <v>MCD Medical Line VEIO.vis</v>
          </cell>
          <cell r="C4861">
            <v>0</v>
          </cell>
          <cell r="D4861">
            <v>0</v>
          </cell>
        </row>
        <row r="4862">
          <cell r="A4862" t="str">
            <v>T100218_B</v>
          </cell>
          <cell r="B4862" t="str">
            <v>MCD Medical Line VEIO.vis</v>
          </cell>
          <cell r="C4862">
            <v>0</v>
          </cell>
          <cell r="D4862">
            <v>0</v>
          </cell>
        </row>
        <row r="4863">
          <cell r="A4863" t="str">
            <v>T100218_C</v>
          </cell>
          <cell r="B4863" t="str">
            <v>MCD Medical Line VEIO.vis</v>
          </cell>
          <cell r="C4863">
            <v>0</v>
          </cell>
          <cell r="D4863">
            <v>0</v>
          </cell>
        </row>
        <row r="4864">
          <cell r="A4864" t="str">
            <v>T100219</v>
          </cell>
          <cell r="B4864" t="str">
            <v>MCD Vision Line XM-DVI</v>
          </cell>
          <cell r="C4864">
            <v>0</v>
          </cell>
          <cell r="D4864">
            <v>0</v>
          </cell>
        </row>
        <row r="4865">
          <cell r="A4865" t="str">
            <v>T100220</v>
          </cell>
          <cell r="B4865" t="str">
            <v>Cellvizio Confocal Processor</v>
          </cell>
          <cell r="C4865">
            <v>0</v>
          </cell>
          <cell r="D4865">
            <v>990</v>
          </cell>
        </row>
        <row r="4866">
          <cell r="A4866" t="str">
            <v>T100220_G</v>
          </cell>
          <cell r="B4866" t="str">
            <v>Cellvizio Confocal Processor</v>
          </cell>
          <cell r="C4866">
            <v>0</v>
          </cell>
          <cell r="D4866">
            <v>885.99</v>
          </cell>
        </row>
        <row r="4867">
          <cell r="A4867" t="str">
            <v>T100220_H</v>
          </cell>
          <cell r="B4867" t="str">
            <v>Cellvizio Confocal Processor</v>
          </cell>
          <cell r="C4867">
            <v>0</v>
          </cell>
          <cell r="D4867">
            <v>927.46</v>
          </cell>
        </row>
        <row r="4868">
          <cell r="A4868" t="str">
            <v>T100220_J</v>
          </cell>
          <cell r="B4868" t="str">
            <v>Cellvizio Confocal Processor</v>
          </cell>
          <cell r="C4868">
            <v>0</v>
          </cell>
          <cell r="D4868">
            <v>1079.33</v>
          </cell>
        </row>
        <row r="4869">
          <cell r="A4869" t="str">
            <v>T100220_K</v>
          </cell>
          <cell r="B4869" t="str">
            <v>Cellvizio Confocal Processor</v>
          </cell>
          <cell r="C4869">
            <v>0</v>
          </cell>
          <cell r="D4869">
            <v>1113</v>
          </cell>
        </row>
        <row r="4870">
          <cell r="A4870" t="str">
            <v>T100220_L</v>
          </cell>
          <cell r="B4870" t="str">
            <v>Cellvizio Confocal Processor</v>
          </cell>
          <cell r="C4870">
            <v>0</v>
          </cell>
          <cell r="D4870">
            <v>1113.03</v>
          </cell>
        </row>
        <row r="4871">
          <cell r="A4871" t="str">
            <v>T100220_M</v>
          </cell>
          <cell r="B4871" t="str">
            <v>Cellvizio Confocal Processor</v>
          </cell>
          <cell r="C4871">
            <v>10</v>
          </cell>
          <cell r="D4871">
            <v>1108.96</v>
          </cell>
        </row>
        <row r="4872">
          <cell r="A4872" t="str">
            <v>T100222</v>
          </cell>
          <cell r="B4872" t="str">
            <v>MCD Medical Line PANA.ceia NEUTRAL</v>
          </cell>
          <cell r="C4872">
            <v>0</v>
          </cell>
          <cell r="D4872">
            <v>480</v>
          </cell>
        </row>
        <row r="4873">
          <cell r="A4873" t="str">
            <v>T100225</v>
          </cell>
          <cell r="B4873" t="str">
            <v>MCD Vision Line Standard - Siemens</v>
          </cell>
          <cell r="C4873">
            <v>0</v>
          </cell>
          <cell r="D4873">
            <v>300</v>
          </cell>
        </row>
        <row r="4874">
          <cell r="A4874" t="str">
            <v>T100227</v>
          </cell>
          <cell r="B4874" t="str">
            <v>AMD Pana.ceia PC Clinscanner</v>
          </cell>
          <cell r="C4874">
            <v>0</v>
          </cell>
          <cell r="D4874">
            <v>975</v>
          </cell>
        </row>
        <row r="4875">
          <cell r="A4875" t="str">
            <v>T100228</v>
          </cell>
          <cell r="B4875" t="str">
            <v>AMD Clinscanner</v>
          </cell>
          <cell r="C4875">
            <v>0</v>
          </cell>
          <cell r="D4875">
            <v>4750</v>
          </cell>
        </row>
        <row r="4876">
          <cell r="A4876" t="str">
            <v>T100230</v>
          </cell>
          <cell r="B4876" t="str">
            <v>MCD Medical Line AESCU.certus Standversion</v>
          </cell>
          <cell r="C4876">
            <v>0</v>
          </cell>
          <cell r="D4876">
            <v>1036.21</v>
          </cell>
        </row>
        <row r="4877">
          <cell r="A4877" t="str">
            <v>T100230_E</v>
          </cell>
          <cell r="B4877" t="str">
            <v>MCD Medical Line AESCU.certus Standversion</v>
          </cell>
          <cell r="C4877">
            <v>0</v>
          </cell>
          <cell r="D4877">
            <v>0</v>
          </cell>
        </row>
        <row r="4878">
          <cell r="A4878" t="str">
            <v>T100230_F</v>
          </cell>
          <cell r="B4878" t="str">
            <v>MCD Medical Line AESCU.certus Standversion</v>
          </cell>
          <cell r="C4878">
            <v>0</v>
          </cell>
          <cell r="D4878">
            <v>0</v>
          </cell>
        </row>
        <row r="4879">
          <cell r="A4879" t="str">
            <v>T100231</v>
          </cell>
          <cell r="B4879" t="str">
            <v>MCD Medical Line AESCU.certus Wandversion</v>
          </cell>
          <cell r="C4879">
            <v>0</v>
          </cell>
          <cell r="D4879">
            <v>951.15</v>
          </cell>
        </row>
        <row r="4880">
          <cell r="A4880" t="str">
            <v>T100231_F</v>
          </cell>
          <cell r="B4880" t="str">
            <v>MCD Medical Line AESCU.certus Wandversion</v>
          </cell>
          <cell r="C4880">
            <v>0</v>
          </cell>
          <cell r="D4880">
            <v>0</v>
          </cell>
        </row>
        <row r="4881">
          <cell r="A4881" t="str">
            <v>T100231_G</v>
          </cell>
          <cell r="B4881" t="str">
            <v>MCD Medical Line AESCU.certus Wandversion</v>
          </cell>
          <cell r="C4881">
            <v>0</v>
          </cell>
          <cell r="D4881">
            <v>0</v>
          </cell>
        </row>
        <row r="4882">
          <cell r="A4882" t="str">
            <v>T100232</v>
          </cell>
          <cell r="B4882" t="str">
            <v>MCD Medical Line AESCU.certus² Standversion</v>
          </cell>
          <cell r="C4882">
            <v>0</v>
          </cell>
          <cell r="D4882">
            <v>1083.8399999999999</v>
          </cell>
        </row>
        <row r="4883">
          <cell r="A4883" t="str">
            <v>T100232-98_A</v>
          </cell>
          <cell r="B4883" t="str">
            <v>Bechtle MCD Medical Line AESCU.certus² Desk LWL</v>
          </cell>
          <cell r="C4883">
            <v>0</v>
          </cell>
          <cell r="D4883">
            <v>0</v>
          </cell>
        </row>
        <row r="4884">
          <cell r="A4884" t="str">
            <v>T100232-99_A</v>
          </cell>
          <cell r="B4884" t="str">
            <v>Bechtle MCD Medical Line AESCU.certus² Desk</v>
          </cell>
          <cell r="C4884">
            <v>0</v>
          </cell>
          <cell r="D4884">
            <v>0</v>
          </cell>
        </row>
        <row r="4885">
          <cell r="A4885" t="str">
            <v>T100232_B</v>
          </cell>
          <cell r="B4885" t="str">
            <v>MCD Medical Line AESCU.certus² Stand non-USV</v>
          </cell>
          <cell r="C4885">
            <v>0</v>
          </cell>
          <cell r="D4885">
            <v>0</v>
          </cell>
        </row>
        <row r="4886">
          <cell r="A4886" t="str">
            <v>T100232_C</v>
          </cell>
          <cell r="B4886" t="str">
            <v>MCD Medical Line AESCU.certus² Stand non-USV</v>
          </cell>
          <cell r="C4886">
            <v>1</v>
          </cell>
          <cell r="D4886">
            <v>1184.8547000000001</v>
          </cell>
        </row>
        <row r="4887">
          <cell r="A4887" t="str">
            <v>T100232_D</v>
          </cell>
          <cell r="B4887" t="str">
            <v>MCD Medical Line AESCU.certus² Stand non-USV</v>
          </cell>
          <cell r="C4887">
            <v>0</v>
          </cell>
          <cell r="D4887">
            <v>0</v>
          </cell>
        </row>
        <row r="4888">
          <cell r="A4888" t="str">
            <v>T100233</v>
          </cell>
          <cell r="B4888" t="str">
            <v>MCD Medical Line AESCU.certus² Wandversion</v>
          </cell>
          <cell r="C4888">
            <v>0</v>
          </cell>
          <cell r="D4888">
            <v>1083.8399999999999</v>
          </cell>
        </row>
        <row r="4889">
          <cell r="A4889" t="str">
            <v>T100233_B</v>
          </cell>
          <cell r="B4889" t="str">
            <v>MCD Medical Line AESCU.certus² Wand non-USV</v>
          </cell>
          <cell r="C4889">
            <v>0</v>
          </cell>
          <cell r="D4889">
            <v>0</v>
          </cell>
        </row>
        <row r="4890">
          <cell r="A4890" t="str">
            <v>T100233_C</v>
          </cell>
          <cell r="B4890" t="str">
            <v>MCD Medical Line AESCU.certus² Wand non-USV</v>
          </cell>
          <cell r="C4890">
            <v>0</v>
          </cell>
          <cell r="D4890">
            <v>0</v>
          </cell>
        </row>
        <row r="4891">
          <cell r="A4891" t="str">
            <v>T100233_D</v>
          </cell>
          <cell r="B4891" t="str">
            <v>MCD Medical Line AESCU.certus² Wand non-USV</v>
          </cell>
          <cell r="C4891">
            <v>1</v>
          </cell>
          <cell r="D4891">
            <v>1194.75476</v>
          </cell>
        </row>
        <row r="4892">
          <cell r="A4892" t="str">
            <v>T100234</v>
          </cell>
          <cell r="B4892" t="str">
            <v>MCD Medical Line AESCU.certus² USV Stand</v>
          </cell>
          <cell r="C4892">
            <v>0</v>
          </cell>
          <cell r="D4892">
            <v>1462.66</v>
          </cell>
        </row>
        <row r="4893">
          <cell r="A4893" t="str">
            <v>T100235</v>
          </cell>
          <cell r="B4893" t="str">
            <v>MCD Medical Line AESCU.certus² USV Wand</v>
          </cell>
          <cell r="C4893">
            <v>0</v>
          </cell>
          <cell r="D4893">
            <v>1462.66</v>
          </cell>
        </row>
        <row r="4894">
          <cell r="A4894" t="str">
            <v>T100236</v>
          </cell>
          <cell r="B4894" t="str">
            <v>MCD Medical Line THA.leia 19" PCI</v>
          </cell>
          <cell r="C4894">
            <v>8</v>
          </cell>
          <cell r="D4894">
            <v>978.5</v>
          </cell>
        </row>
        <row r="4895">
          <cell r="A4895" t="str">
            <v>T100236_A</v>
          </cell>
          <cell r="B4895" t="str">
            <v>MCD Medical Line THA.leia 19" PCI</v>
          </cell>
          <cell r="C4895">
            <v>0</v>
          </cell>
          <cell r="D4895">
            <v>0</v>
          </cell>
        </row>
        <row r="4896">
          <cell r="A4896" t="str">
            <v>T100237</v>
          </cell>
          <cell r="B4896" t="str">
            <v>MCD Medical Line THA.leia 19" Touch PCI</v>
          </cell>
          <cell r="C4896">
            <v>13</v>
          </cell>
          <cell r="D4896">
            <v>1323.4</v>
          </cell>
        </row>
        <row r="4897">
          <cell r="A4897" t="str">
            <v>T100237_B</v>
          </cell>
          <cell r="B4897" t="str">
            <v>MCD Medical Line THA.leia 19" Touch PCI</v>
          </cell>
          <cell r="C4897">
            <v>0</v>
          </cell>
          <cell r="D4897">
            <v>0</v>
          </cell>
        </row>
        <row r="4898">
          <cell r="A4898" t="str">
            <v>T100237_C</v>
          </cell>
          <cell r="B4898" t="str">
            <v>MCD Medical Line THA.leia 19" Touch PCI</v>
          </cell>
          <cell r="C4898">
            <v>0</v>
          </cell>
          <cell r="D4898">
            <v>0</v>
          </cell>
        </row>
        <row r="4899">
          <cell r="A4899" t="str">
            <v>T100238</v>
          </cell>
          <cell r="B4899" t="str">
            <v>Itochu Industrietower</v>
          </cell>
          <cell r="C4899">
            <v>0</v>
          </cell>
          <cell r="D4899">
            <v>699</v>
          </cell>
        </row>
        <row r="4900">
          <cell r="A4900" t="str">
            <v>T100239</v>
          </cell>
          <cell r="B4900" t="str">
            <v>Itochu 19" Industriedesktop</v>
          </cell>
          <cell r="C4900">
            <v>0</v>
          </cell>
          <cell r="D4900">
            <v>768</v>
          </cell>
        </row>
        <row r="4901">
          <cell r="A4901" t="str">
            <v>T100239_B</v>
          </cell>
          <cell r="B4901" t="str">
            <v>Itochu 19" Industriedesktop</v>
          </cell>
          <cell r="C4901">
            <v>0</v>
          </cell>
          <cell r="D4901">
            <v>815</v>
          </cell>
        </row>
        <row r="4902">
          <cell r="A4902" t="str">
            <v>T200103</v>
          </cell>
          <cell r="B4902" t="str">
            <v>Basis Modell NEON II Plus</v>
          </cell>
          <cell r="C4902">
            <v>0</v>
          </cell>
          <cell r="D4902">
            <v>635</v>
          </cell>
        </row>
        <row r="4903">
          <cell r="A4903" t="str">
            <v>T200111</v>
          </cell>
          <cell r="B4903" t="str">
            <v>Tulip MotionLine 2200</v>
          </cell>
          <cell r="C4903">
            <v>0</v>
          </cell>
          <cell r="D4903">
            <v>372.5</v>
          </cell>
        </row>
        <row r="4904">
          <cell r="A4904" t="str">
            <v>T200121</v>
          </cell>
          <cell r="B4904" t="str">
            <v>Basis Modell Tulip Motion Line 2100 15"</v>
          </cell>
          <cell r="C4904">
            <v>0</v>
          </cell>
          <cell r="D4904">
            <v>355</v>
          </cell>
        </row>
        <row r="4905">
          <cell r="A4905" t="str">
            <v>T200122</v>
          </cell>
          <cell r="B4905" t="str">
            <v>Basis Modell Tulip Motion Line 4200</v>
          </cell>
          <cell r="C4905">
            <v>0</v>
          </cell>
          <cell r="D4905">
            <v>321</v>
          </cell>
        </row>
        <row r="4906">
          <cell r="A4906" t="str">
            <v>T200122-1</v>
          </cell>
          <cell r="B4906" t="str">
            <v>Basis Modell Tulip Motion Line 4201</v>
          </cell>
          <cell r="C4906">
            <v>0</v>
          </cell>
          <cell r="D4906">
            <v>343</v>
          </cell>
        </row>
        <row r="4907">
          <cell r="A4907" t="str">
            <v>T200123</v>
          </cell>
          <cell r="B4907" t="str">
            <v>Basis Modell Tulip MotionLine 7100</v>
          </cell>
          <cell r="C4907">
            <v>0</v>
          </cell>
          <cell r="D4907">
            <v>599</v>
          </cell>
        </row>
        <row r="4908">
          <cell r="A4908" t="str">
            <v>T200125</v>
          </cell>
          <cell r="B4908" t="str">
            <v>Basis Modell Tulip Motion Line 1750</v>
          </cell>
          <cell r="C4908">
            <v>0</v>
          </cell>
          <cell r="D4908">
            <v>619.01</v>
          </cell>
        </row>
        <row r="4909">
          <cell r="A4909" t="str">
            <v>T200125-1</v>
          </cell>
          <cell r="B4909" t="str">
            <v>Tulip MotionLine 1751 WXGA</v>
          </cell>
          <cell r="C4909">
            <v>0</v>
          </cell>
          <cell r="D4909">
            <v>585</v>
          </cell>
        </row>
        <row r="4910">
          <cell r="A4910" t="str">
            <v>T200126</v>
          </cell>
          <cell r="B4910" t="str">
            <v>Motion Line 3300 15" XGA AMD</v>
          </cell>
          <cell r="C4910">
            <v>0</v>
          </cell>
          <cell r="D4910">
            <v>311.5</v>
          </cell>
        </row>
        <row r="4911">
          <cell r="A4911" t="str">
            <v>T200127</v>
          </cell>
          <cell r="B4911" t="str">
            <v>Basis Modell PN-800</v>
          </cell>
          <cell r="C4911">
            <v>0</v>
          </cell>
          <cell r="D4911">
            <v>480</v>
          </cell>
        </row>
        <row r="4912">
          <cell r="A4912" t="str">
            <v>TAROX WIN XS</v>
          </cell>
          <cell r="B4912" t="str">
            <v>TAROX WIN XS " Lifestyle" Center 2007</v>
          </cell>
          <cell r="C4912">
            <v>0</v>
          </cell>
          <cell r="D4912">
            <v>799</v>
          </cell>
        </row>
        <row r="4913">
          <cell r="A4913" t="str">
            <v>TERRA PC</v>
          </cell>
          <cell r="B4913" t="str">
            <v>TERRA PC-BUSINESS</v>
          </cell>
          <cell r="C4913">
            <v>0</v>
          </cell>
          <cell r="D4913">
            <v>515</v>
          </cell>
        </row>
        <row r="4914">
          <cell r="A4914" t="str">
            <v>TERRA PC-BUSINESS 40</v>
          </cell>
          <cell r="B4914" t="str">
            <v>TERRA PC-BUSINESS 4000</v>
          </cell>
          <cell r="C4914">
            <v>0</v>
          </cell>
          <cell r="D4914">
            <v>318.89999999999998</v>
          </cell>
        </row>
        <row r="4915">
          <cell r="A4915" t="str">
            <v>THA.LEIA 19"</v>
          </cell>
          <cell r="B4915" t="str">
            <v>MCD Medical Line THA.leia 19"</v>
          </cell>
          <cell r="C4915">
            <v>0</v>
          </cell>
          <cell r="D4915">
            <v>1600</v>
          </cell>
        </row>
        <row r="4916">
          <cell r="A4916" t="str">
            <v>THA.LEIA 19" TOUCH</v>
          </cell>
          <cell r="B4916" t="str">
            <v>MCD Medical Line THA.leia 19" Touch</v>
          </cell>
          <cell r="C4916">
            <v>0</v>
          </cell>
          <cell r="D4916">
            <v>1155</v>
          </cell>
        </row>
        <row r="4917">
          <cell r="A4917" t="str">
            <v>VEIO.VIS</v>
          </cell>
          <cell r="B4917" t="str">
            <v>MCD Medical Line  VEIO.vis</v>
          </cell>
          <cell r="C4917">
            <v>0</v>
          </cell>
          <cell r="D4917">
            <v>650</v>
          </cell>
        </row>
        <row r="4918">
          <cell r="A4918" t="str">
            <v>VERSICHERUNG</v>
          </cell>
          <cell r="B4918" t="str">
            <v>Versicherung</v>
          </cell>
          <cell r="C4918">
            <v>0</v>
          </cell>
          <cell r="D4918">
            <v>0</v>
          </cell>
        </row>
        <row r="4919">
          <cell r="A4919" t="str">
            <v>VN-300</v>
          </cell>
          <cell r="B4919" t="str">
            <v>Tulip Motion Value Notebook VN-300 15,4"</v>
          </cell>
          <cell r="C4919">
            <v>0</v>
          </cell>
          <cell r="D4919">
            <v>349.86</v>
          </cell>
        </row>
        <row r="4920">
          <cell r="A4920" t="str">
            <v>VOS-12</v>
          </cell>
          <cell r="B4920" t="str">
            <v>Vor-Ort-Service 12 Monate Desktop</v>
          </cell>
          <cell r="C4920">
            <v>-3</v>
          </cell>
          <cell r="D4920">
            <v>32.22</v>
          </cell>
        </row>
        <row r="4921">
          <cell r="A4921" t="str">
            <v>VOS-24</v>
          </cell>
          <cell r="B4921" t="str">
            <v>Vor-Ort-Service 24 Monate Desktop</v>
          </cell>
          <cell r="C4921">
            <v>-5</v>
          </cell>
          <cell r="D4921">
            <v>54.44</v>
          </cell>
        </row>
        <row r="4922">
          <cell r="A4922" t="str">
            <v>VOS-36</v>
          </cell>
          <cell r="B4922" t="str">
            <v>Vor-Ort-Service 36 Monate Desktop</v>
          </cell>
          <cell r="C4922">
            <v>-409</v>
          </cell>
          <cell r="D4922">
            <v>0</v>
          </cell>
        </row>
        <row r="4923">
          <cell r="A4923" t="str">
            <v>VOS-36-SPECIAL</v>
          </cell>
          <cell r="B4923" t="str">
            <v>Vor-Ort-Service 36 Monate Desktop - Special</v>
          </cell>
          <cell r="C4923">
            <v>-4</v>
          </cell>
          <cell r="D4923">
            <v>0</v>
          </cell>
        </row>
        <row r="4924">
          <cell r="A4924" t="str">
            <v>VOS-36S</v>
          </cell>
          <cell r="B4924" t="str">
            <v>Vor-Ort-Service 36 Monate Server</v>
          </cell>
          <cell r="C4924">
            <v>-185</v>
          </cell>
          <cell r="D4924">
            <v>0</v>
          </cell>
        </row>
        <row r="4925">
          <cell r="A4925" t="str">
            <v>W0100_E</v>
          </cell>
          <cell r="B4925" t="str">
            <v>KARL STORZ OR1 FUSION control</v>
          </cell>
          <cell r="C4925">
            <v>0</v>
          </cell>
          <cell r="D4925">
            <v>4545.5777799999996</v>
          </cell>
        </row>
        <row r="4926">
          <cell r="A4926" t="str">
            <v>W23200</v>
          </cell>
          <cell r="B4926" t="str">
            <v>KARL STORZ OR1 Remote Switch On</v>
          </cell>
          <cell r="C4926">
            <v>0</v>
          </cell>
          <cell r="D4926">
            <v>0</v>
          </cell>
        </row>
        <row r="4927">
          <cell r="A4927" t="str">
            <v>WD200_A</v>
          </cell>
          <cell r="B4927" t="str">
            <v>KARL STORZ AIDA FUSION WD200</v>
          </cell>
          <cell r="C4927">
            <v>0</v>
          </cell>
          <cell r="D4927">
            <v>2685.42</v>
          </cell>
        </row>
        <row r="4928">
          <cell r="A4928" t="str">
            <v>WO100_D</v>
          </cell>
          <cell r="B4928" t="str">
            <v>KARL STORZ OR1 FUSION control</v>
          </cell>
          <cell r="C4928">
            <v>0</v>
          </cell>
          <cell r="D4928">
            <v>0</v>
          </cell>
        </row>
        <row r="4929">
          <cell r="A4929" t="str">
            <v>WO100_F</v>
          </cell>
          <cell r="B4929" t="str">
            <v>KARL STORZ OR1 FUSION control</v>
          </cell>
          <cell r="C4929">
            <v>0</v>
          </cell>
          <cell r="D4929">
            <v>4562.38</v>
          </cell>
        </row>
        <row r="4930">
          <cell r="A4930" t="str">
            <v>WO100_G</v>
          </cell>
          <cell r="B4930" t="str">
            <v>KARL STORZ OR1 FUSION control</v>
          </cell>
          <cell r="C4930">
            <v>0</v>
          </cell>
          <cell r="D4930">
            <v>4762.6360000000004</v>
          </cell>
        </row>
        <row r="4931">
          <cell r="A4931" t="str">
            <v>WO100_H</v>
          </cell>
          <cell r="B4931" t="str">
            <v>KARL STORZ OR1 FUSION control</v>
          </cell>
          <cell r="C4931">
            <v>1</v>
          </cell>
          <cell r="D4931">
            <v>4296</v>
          </cell>
        </row>
        <row r="4932">
          <cell r="A4932" t="str">
            <v>WO100_I</v>
          </cell>
          <cell r="B4932" t="str">
            <v>KARL STORZ OR1 FUSION control</v>
          </cell>
          <cell r="C4932">
            <v>0</v>
          </cell>
          <cell r="D4932">
            <v>4293</v>
          </cell>
        </row>
        <row r="4933">
          <cell r="A4933" t="str">
            <v>WO100_J</v>
          </cell>
          <cell r="B4933" t="str">
            <v>KARL STORZ OR1 FUSION control</v>
          </cell>
          <cell r="C4933">
            <v>0</v>
          </cell>
          <cell r="D4933">
            <v>4538.7380000000003</v>
          </cell>
        </row>
        <row r="4934">
          <cell r="A4934" t="str">
            <v>WO100_K</v>
          </cell>
          <cell r="B4934" t="str">
            <v>KARL STORZ OR1 FUSION control</v>
          </cell>
          <cell r="C4934">
            <v>0</v>
          </cell>
          <cell r="D4934">
            <v>4213.74</v>
          </cell>
        </row>
        <row r="4935">
          <cell r="A4935" t="str">
            <v>X000-0010</v>
          </cell>
          <cell r="B4935" t="str">
            <v>Upgrade auf Windows Vista Ultimate / D220</v>
          </cell>
          <cell r="C4935">
            <v>0</v>
          </cell>
          <cell r="D4935">
            <v>36</v>
          </cell>
        </row>
        <row r="4936">
          <cell r="A4936" t="str">
            <v>X000-0010P</v>
          </cell>
          <cell r="B4936" t="str">
            <v>Upgrade auf Windows Vista Ultimate / P210</v>
          </cell>
          <cell r="C4936">
            <v>0</v>
          </cell>
          <cell r="D4936">
            <v>47</v>
          </cell>
        </row>
        <row r="4937">
          <cell r="A4937" t="str">
            <v>XD139_ITOCHU</v>
          </cell>
          <cell r="B4937" t="str">
            <v>ActionLine XD139 "ITOCHU"</v>
          </cell>
          <cell r="C4937">
            <v>0</v>
          </cell>
          <cell r="D4937">
            <v>0</v>
          </cell>
        </row>
        <row r="4938">
          <cell r="A4938" t="str">
            <v>XM-1200</v>
          </cell>
          <cell r="B4938" t="str">
            <v>MCD Vision Line XM-1200</v>
          </cell>
          <cell r="C4938">
            <v>0</v>
          </cell>
          <cell r="D4938">
            <v>0</v>
          </cell>
        </row>
        <row r="4939">
          <cell r="A4939" t="str">
            <v>XM-152</v>
          </cell>
          <cell r="B4939" t="str">
            <v>MCD Vision Line XM-152</v>
          </cell>
          <cell r="C4939">
            <v>0</v>
          </cell>
          <cell r="D4939">
            <v>0</v>
          </cell>
        </row>
        <row r="4940">
          <cell r="A4940" t="str">
            <v>XM-DVI</v>
          </cell>
          <cell r="B4940" t="str">
            <v>MCD Vision Line XM-DVI</v>
          </cell>
          <cell r="C4940">
            <v>0</v>
          </cell>
          <cell r="D4940">
            <v>0</v>
          </cell>
        </row>
        <row r="4941">
          <cell r="A4941" t="str">
            <v>XM945P</v>
          </cell>
          <cell r="B4941" t="str">
            <v>MCD Vision Line XM-945P</v>
          </cell>
          <cell r="C4941">
            <v>0</v>
          </cell>
          <cell r="D4941">
            <v>0</v>
          </cell>
        </row>
        <row r="4942">
          <cell r="A4942" t="str">
            <v>XM945P_BIRKENSTOCK</v>
          </cell>
          <cell r="B4942" t="str">
            <v>Tulip Action Line XM 945P_Birkenstock</v>
          </cell>
          <cell r="C4942">
            <v>0</v>
          </cell>
          <cell r="D4942">
            <v>0</v>
          </cell>
        </row>
        <row r="4943">
          <cell r="A4943" t="str">
            <v>XM945P_SCHWARZ</v>
          </cell>
          <cell r="B4943" t="str">
            <v>Tulip Action Line XM 945P schwarz</v>
          </cell>
          <cell r="C4943">
            <v>0</v>
          </cell>
          <cell r="D4943">
            <v>0</v>
          </cell>
        </row>
        <row r="4944">
          <cell r="A4944" t="str">
            <v>XN-900</v>
          </cell>
          <cell r="B4944" t="str">
            <v>Tulip Motion Line eXecutive Notebook XN-900</v>
          </cell>
          <cell r="C4944">
            <v>0</v>
          </cell>
          <cell r="D4944">
            <v>584.77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M_aescu-certus2"/>
      <sheetName val="BM_pana-ceia2"/>
      <sheetName val="BM_tha-leia-19 non-Touch"/>
      <sheetName val="BM_tha-leia-19 Touch"/>
      <sheetName val="BM_tha-leia-21,5 non-Touch"/>
      <sheetName val="BM_tha-leia-21,5 Touch"/>
      <sheetName val="BM_omni-view-21,5 non-Touch"/>
      <sheetName val="BM_omni-view-21,5 Touch"/>
      <sheetName val="Zubehör"/>
      <sheetName val="Pricer data"/>
      <sheetName val="Art-Liste NAVISION"/>
      <sheetName val="Product list"/>
      <sheetName val="Deckblatt"/>
      <sheetName val="AESCU.certus²"/>
      <sheetName val="PANA.ceia²"/>
      <sheetName val="THA.leia 19&quot;"/>
      <sheetName val="THA.leia 21,5&quot;"/>
      <sheetName val="OMNI.view 21,5&quot;"/>
      <sheetName val="Displays"/>
      <sheetName val="Eingabegeräte"/>
      <sheetName val="Freie_Kalkulation"/>
      <sheetName val="Ergänzung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">
          <cell r="B1" t="str">
            <v>Basis für Preisfindung gemäß "LISTE 10"!!!</v>
          </cell>
          <cell r="C1">
            <v>0</v>
          </cell>
          <cell r="D1" t="str">
            <v>Zusatzteile/ Kompnenten-gruppen</v>
          </cell>
          <cell r="E1" t="str">
            <v>EK ALT EUR  (absolute Werte)</v>
          </cell>
          <cell r="F1" t="str">
            <v>EK NEU
EUR</v>
          </cell>
          <cell r="G1" t="str">
            <v>Delta
%</v>
          </cell>
          <cell r="H1" t="str">
            <v>Marge ALT
%</v>
          </cell>
          <cell r="I1" t="str">
            <v>VK ALT
EUR</v>
          </cell>
          <cell r="J1" t="str">
            <v>Marge NEU
%</v>
          </cell>
          <cell r="K1" t="str">
            <v>VK NEU
EUR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</row>
        <row r="3">
          <cell r="B3" t="str">
            <v>Part-No.</v>
          </cell>
          <cell r="C3" t="str">
            <v>Beschreibung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 t="str">
            <v>INTERNER Vertriebskonfigurator August 2013</v>
          </cell>
        </row>
        <row r="5">
          <cell r="B5" t="str">
            <v>Dummy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</row>
        <row r="6">
          <cell r="B6" t="str">
            <v>Basis Systeme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</row>
        <row r="7">
          <cell r="B7" t="str">
            <v>2000033M_G</v>
          </cell>
          <cell r="C7" t="str">
            <v>MCD Medical Line PANA.ceia²</v>
          </cell>
          <cell r="D7">
            <v>0</v>
          </cell>
          <cell r="E7">
            <v>408.47</v>
          </cell>
          <cell r="F7">
            <v>408.47</v>
          </cell>
          <cell r="G7">
            <v>0</v>
          </cell>
          <cell r="H7">
            <v>0.25</v>
          </cell>
          <cell r="I7">
            <v>545</v>
          </cell>
          <cell r="J7">
            <v>0.25</v>
          </cell>
          <cell r="K7">
            <v>545</v>
          </cell>
        </row>
        <row r="8">
          <cell r="B8" t="str">
            <v>2000038M_H</v>
          </cell>
          <cell r="C8" t="str">
            <v>MCD Medical Line AESCU.certus² Desktop-Version</v>
          </cell>
          <cell r="D8">
            <v>0</v>
          </cell>
          <cell r="E8">
            <v>1081.5</v>
          </cell>
          <cell r="F8">
            <v>1092.19</v>
          </cell>
          <cell r="G8">
            <v>9.7999999999999997E-3</v>
          </cell>
          <cell r="H8">
            <v>0.25</v>
          </cell>
          <cell r="I8">
            <v>1442</v>
          </cell>
          <cell r="J8">
            <v>0.25</v>
          </cell>
          <cell r="K8">
            <v>1457</v>
          </cell>
        </row>
        <row r="9">
          <cell r="B9" t="str">
            <v>2000039M_H</v>
          </cell>
          <cell r="C9" t="str">
            <v>MCD Medical Line AESCU.certus² Wand-Version</v>
          </cell>
          <cell r="D9">
            <v>0</v>
          </cell>
          <cell r="E9">
            <v>1081.5</v>
          </cell>
          <cell r="F9">
            <v>1092.19</v>
          </cell>
          <cell r="G9">
            <v>9.7999999999999997E-3</v>
          </cell>
          <cell r="H9">
            <v>0.25</v>
          </cell>
          <cell r="I9">
            <v>1442</v>
          </cell>
          <cell r="J9">
            <v>0.25</v>
          </cell>
          <cell r="K9">
            <v>1457</v>
          </cell>
        </row>
        <row r="10">
          <cell r="B10" t="str">
            <v>T100236</v>
          </cell>
          <cell r="C10" t="str">
            <v>MCD Medical Line THA.leia 19" non-Touch</v>
          </cell>
          <cell r="D10">
            <v>0</v>
          </cell>
          <cell r="E10">
            <v>1145.01</v>
          </cell>
          <cell r="F10">
            <v>1145.01</v>
          </cell>
          <cell r="G10">
            <v>0</v>
          </cell>
          <cell r="H10">
            <v>0.15</v>
          </cell>
          <cell r="I10">
            <v>1348</v>
          </cell>
          <cell r="J10">
            <v>0.15</v>
          </cell>
          <cell r="K10">
            <v>1348</v>
          </cell>
        </row>
        <row r="11">
          <cell r="B11" t="str">
            <v>T100237</v>
          </cell>
          <cell r="C11" t="str">
            <v>MCD Medical Line THA.leia 19" Touch</v>
          </cell>
          <cell r="D11">
            <v>0</v>
          </cell>
          <cell r="E11">
            <v>1489.91</v>
          </cell>
          <cell r="F11">
            <v>1489.91</v>
          </cell>
          <cell r="G11">
            <v>0</v>
          </cell>
          <cell r="H11">
            <v>0.15</v>
          </cell>
          <cell r="I11">
            <v>1753</v>
          </cell>
          <cell r="J11">
            <v>0.15</v>
          </cell>
          <cell r="K11">
            <v>1753</v>
          </cell>
        </row>
        <row r="12">
          <cell r="B12" t="str">
            <v>2000035M_A</v>
          </cell>
          <cell r="C12" t="str">
            <v>MCD Medical Line THA.leia 21.5" non-Touch</v>
          </cell>
          <cell r="D12">
            <v>0</v>
          </cell>
          <cell r="E12">
            <v>1957.35</v>
          </cell>
          <cell r="F12">
            <v>1283.57</v>
          </cell>
          <cell r="G12">
            <v>-0.52490000000000003</v>
          </cell>
          <cell r="H12">
            <v>0.25</v>
          </cell>
          <cell r="I12">
            <v>2610</v>
          </cell>
          <cell r="J12">
            <v>0.25</v>
          </cell>
          <cell r="K12">
            <v>1712</v>
          </cell>
        </row>
        <row r="13">
          <cell r="B13" t="str">
            <v>2000034M_A</v>
          </cell>
          <cell r="C13" t="str">
            <v>MCD Medical Line THA.leia 21.5" Touch</v>
          </cell>
          <cell r="D13">
            <v>0</v>
          </cell>
          <cell r="E13">
            <v>2206.35</v>
          </cell>
          <cell r="F13">
            <v>1590.72</v>
          </cell>
          <cell r="G13">
            <v>-0.38700000000000001</v>
          </cell>
          <cell r="H13">
            <v>0.25</v>
          </cell>
          <cell r="I13">
            <v>2942</v>
          </cell>
          <cell r="J13">
            <v>0.25</v>
          </cell>
          <cell r="K13">
            <v>2121</v>
          </cell>
        </row>
        <row r="14">
          <cell r="B14" t="str">
            <v>5200155M</v>
          </cell>
          <cell r="C14" t="str">
            <v>MCD Medical Line OMNI.view 21,5" non-Touch</v>
          </cell>
          <cell r="D14">
            <v>0</v>
          </cell>
          <cell r="E14">
            <v>514.62</v>
          </cell>
          <cell r="F14">
            <v>520.41</v>
          </cell>
          <cell r="G14">
            <v>1.11E-2</v>
          </cell>
          <cell r="H14">
            <v>0.25</v>
          </cell>
          <cell r="I14">
            <v>687</v>
          </cell>
          <cell r="J14">
            <v>0.25</v>
          </cell>
          <cell r="K14">
            <v>694</v>
          </cell>
        </row>
        <row r="15">
          <cell r="B15" t="str">
            <v>5200156M</v>
          </cell>
          <cell r="C15" t="str">
            <v>MCD Medical Line OMNI.view 21,5" Touch</v>
          </cell>
          <cell r="D15">
            <v>0</v>
          </cell>
          <cell r="E15">
            <v>762.22</v>
          </cell>
          <cell r="F15">
            <v>768.01</v>
          </cell>
          <cell r="G15">
            <v>7.4999999999999997E-3</v>
          </cell>
          <cell r="H15">
            <v>0.25</v>
          </cell>
          <cell r="I15">
            <v>1017</v>
          </cell>
          <cell r="J15">
            <v>0.25</v>
          </cell>
          <cell r="K15">
            <v>1025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 t="e">
            <v>#N/A</v>
          </cell>
          <cell r="G16" t="e">
            <v>#N/A</v>
          </cell>
          <cell r="H16">
            <v>0</v>
          </cell>
          <cell r="I16">
            <v>0</v>
          </cell>
          <cell r="J16">
            <v>0</v>
          </cell>
          <cell r="K16" t="e">
            <v>#N/A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</row>
        <row r="18">
          <cell r="B18" t="str">
            <v>Prozessoren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</row>
        <row r="19">
          <cell r="B19">
            <v>0</v>
          </cell>
          <cell r="C19" t="str">
            <v>Desktop LGA1155 Sockel CPUs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</row>
        <row r="20">
          <cell r="B20">
            <v>2181360</v>
          </cell>
          <cell r="C20" t="str">
            <v>CPU Core i3-3220 3,30GHz Boxed LGA1155</v>
          </cell>
          <cell r="D20">
            <v>0</v>
          </cell>
          <cell r="E20">
            <v>87.9</v>
          </cell>
          <cell r="F20">
            <v>89.9</v>
          </cell>
          <cell r="G20">
            <v>2.2200000000000001E-2</v>
          </cell>
          <cell r="H20">
            <v>0.18</v>
          </cell>
          <cell r="I20">
            <v>108</v>
          </cell>
          <cell r="J20">
            <v>0.18</v>
          </cell>
          <cell r="K20">
            <v>110</v>
          </cell>
        </row>
        <row r="21">
          <cell r="B21">
            <v>2181408</v>
          </cell>
          <cell r="C21" t="str">
            <v>CPU Core i5-3550S 3,70GHz Tray LGA1155</v>
          </cell>
          <cell r="D21">
            <v>159</v>
          </cell>
          <cell r="E21">
            <v>166.57</v>
          </cell>
          <cell r="F21">
            <v>174.57</v>
          </cell>
          <cell r="G21">
            <v>4.58E-2</v>
          </cell>
          <cell r="H21">
            <v>0.18</v>
          </cell>
          <cell r="I21">
            <v>204</v>
          </cell>
          <cell r="J21">
            <v>0.18</v>
          </cell>
          <cell r="K21">
            <v>213</v>
          </cell>
        </row>
        <row r="22">
          <cell r="B22" t="str">
            <v>3750003M</v>
          </cell>
          <cell r="C22" t="str">
            <v>Lüfter Prozessor S775/S1156/S1366 Sideblow</v>
          </cell>
          <cell r="D22">
            <v>15.08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</row>
        <row r="23">
          <cell r="B23" t="str">
            <v>3700006M</v>
          </cell>
          <cell r="C23" t="str">
            <v>Backplate für S1156/1155 Kunststoff M3 Gewinde</v>
          </cell>
          <cell r="D23">
            <v>0.49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</row>
        <row r="24">
          <cell r="B24">
            <v>2181351</v>
          </cell>
          <cell r="C24" t="str">
            <v>CPU Core i5-3570 3.40GHz Boxed LGA1155</v>
          </cell>
          <cell r="D24">
            <v>0</v>
          </cell>
          <cell r="E24">
            <v>154.9</v>
          </cell>
          <cell r="F24">
            <v>156.9</v>
          </cell>
          <cell r="G24">
            <v>1.2699999999999999E-2</v>
          </cell>
          <cell r="H24">
            <v>0.18</v>
          </cell>
          <cell r="I24">
            <v>189</v>
          </cell>
          <cell r="J24">
            <v>0.18</v>
          </cell>
          <cell r="K24">
            <v>192</v>
          </cell>
        </row>
        <row r="25">
          <cell r="B25">
            <v>2181324</v>
          </cell>
          <cell r="C25" t="str">
            <v>CPU Core i7-3770 3.40GHz Boxed LGA1155</v>
          </cell>
          <cell r="D25">
            <v>221</v>
          </cell>
          <cell r="E25">
            <v>223.81</v>
          </cell>
          <cell r="F25">
            <v>229.81</v>
          </cell>
          <cell r="G25">
            <v>2.6100000000000002E-2</v>
          </cell>
          <cell r="H25">
            <v>0.18</v>
          </cell>
          <cell r="I25">
            <v>273</v>
          </cell>
          <cell r="J25">
            <v>0.18</v>
          </cell>
          <cell r="K25">
            <v>281</v>
          </cell>
        </row>
        <row r="26">
          <cell r="B26">
            <v>2750138</v>
          </cell>
          <cell r="C26" t="str">
            <v>Gehäuselüfter 80x80x25mm (24x7)</v>
          </cell>
          <cell r="D26">
            <v>5.82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</row>
        <row r="27">
          <cell r="B27" t="str">
            <v>7000048M</v>
          </cell>
          <cell r="C27" t="str">
            <v>Lüfterhalterung 80x80mm Lüfter</v>
          </cell>
          <cell r="D27">
            <v>1.3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</row>
        <row r="28">
          <cell r="B28" t="str">
            <v>7000049M</v>
          </cell>
          <cell r="C28" t="str">
            <v>ESD Lüftungsgitter 80x80mm Lüfter</v>
          </cell>
          <cell r="D28">
            <v>1.69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</row>
        <row r="29">
          <cell r="B29">
            <v>0</v>
          </cell>
          <cell r="C29" t="e">
            <v>#N/A</v>
          </cell>
          <cell r="D29">
            <v>0</v>
          </cell>
          <cell r="E29">
            <v>0</v>
          </cell>
          <cell r="F29" t="e">
            <v>#N/A</v>
          </cell>
          <cell r="G29" t="e">
            <v>#N/A</v>
          </cell>
          <cell r="H29">
            <v>0</v>
          </cell>
          <cell r="I29">
            <v>0</v>
          </cell>
          <cell r="J29">
            <v>0</v>
          </cell>
          <cell r="K29" t="e">
            <v>#N/A</v>
          </cell>
        </row>
        <row r="30"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B31">
            <v>0</v>
          </cell>
          <cell r="C31" t="str">
            <v>Notebook Sockel PGA988 CPUs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</row>
        <row r="32">
          <cell r="B32">
            <v>2181319</v>
          </cell>
          <cell r="C32" t="str">
            <v>CPU Celeron B815 1.6GHz Tray PPGA988</v>
          </cell>
          <cell r="D32">
            <v>0</v>
          </cell>
          <cell r="E32">
            <v>19</v>
          </cell>
          <cell r="F32">
            <v>19</v>
          </cell>
          <cell r="G32">
            <v>0</v>
          </cell>
          <cell r="H32">
            <v>0.18</v>
          </cell>
          <cell r="I32">
            <v>24</v>
          </cell>
          <cell r="J32">
            <v>0.18</v>
          </cell>
          <cell r="K32">
            <v>24</v>
          </cell>
        </row>
        <row r="33">
          <cell r="B33">
            <v>2181347</v>
          </cell>
          <cell r="C33" t="str">
            <v>CPU Core i3-2370M 2.4GHz Tray PPGA988</v>
          </cell>
          <cell r="D33">
            <v>0</v>
          </cell>
          <cell r="E33">
            <v>93.5</v>
          </cell>
          <cell r="F33">
            <v>99.5</v>
          </cell>
          <cell r="G33">
            <v>6.0299999999999999E-2</v>
          </cell>
          <cell r="H33">
            <v>0.18</v>
          </cell>
          <cell r="I33">
            <v>115</v>
          </cell>
          <cell r="J33">
            <v>0.18</v>
          </cell>
          <cell r="K33">
            <v>122</v>
          </cell>
        </row>
        <row r="34">
          <cell r="B34">
            <v>2181341</v>
          </cell>
          <cell r="C34" t="str">
            <v>CPU Core i5-3210M 2.5GHz Tray PPGA988B</v>
          </cell>
          <cell r="D34">
            <v>0</v>
          </cell>
          <cell r="E34">
            <v>129.9</v>
          </cell>
          <cell r="F34">
            <v>132</v>
          </cell>
          <cell r="G34">
            <v>1.5900000000000001E-2</v>
          </cell>
          <cell r="H34">
            <v>0.18</v>
          </cell>
          <cell r="I34">
            <v>159</v>
          </cell>
          <cell r="J34">
            <v>0.18</v>
          </cell>
          <cell r="K34">
            <v>161</v>
          </cell>
        </row>
        <row r="35">
          <cell r="B35">
            <v>0</v>
          </cell>
          <cell r="C35" t="e">
            <v>#N/A</v>
          </cell>
          <cell r="D35">
            <v>0</v>
          </cell>
          <cell r="E35">
            <v>0</v>
          </cell>
          <cell r="F35" t="e">
            <v>#N/A</v>
          </cell>
          <cell r="G35" t="e">
            <v>#N/A</v>
          </cell>
          <cell r="H35">
            <v>0</v>
          </cell>
          <cell r="I35">
            <v>0</v>
          </cell>
          <cell r="J35">
            <v>0</v>
          </cell>
          <cell r="K35" t="e">
            <v>#N/A</v>
          </cell>
        </row>
        <row r="36"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</row>
        <row r="37">
          <cell r="B37" t="str">
            <v>Arbeitsspeicher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</row>
        <row r="38">
          <cell r="B38">
            <v>0</v>
          </cell>
          <cell r="C38" t="str">
            <v>Desktop (DDR3 PC1600)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</row>
        <row r="39">
          <cell r="B39">
            <v>2696112</v>
          </cell>
          <cell r="C39" t="str">
            <v>RAM 2GB DDR3 PC1600</v>
          </cell>
          <cell r="D39">
            <v>0</v>
          </cell>
          <cell r="E39">
            <v>13</v>
          </cell>
          <cell r="F39">
            <v>16.5</v>
          </cell>
          <cell r="G39">
            <v>0.21210000000000001</v>
          </cell>
          <cell r="H39">
            <v>0.15</v>
          </cell>
          <cell r="I39">
            <v>16</v>
          </cell>
          <cell r="J39">
            <v>0.15</v>
          </cell>
          <cell r="K39">
            <v>20</v>
          </cell>
        </row>
        <row r="40">
          <cell r="B40">
            <v>2191583</v>
          </cell>
          <cell r="C40" t="str">
            <v>RAM 4GB DDR3 PC1600</v>
          </cell>
          <cell r="D40">
            <v>0</v>
          </cell>
          <cell r="E40">
            <v>23</v>
          </cell>
          <cell r="F40">
            <v>29</v>
          </cell>
          <cell r="G40">
            <v>0.2069</v>
          </cell>
          <cell r="H40">
            <v>0.15</v>
          </cell>
          <cell r="I40">
            <v>28</v>
          </cell>
          <cell r="J40">
            <v>0.15</v>
          </cell>
          <cell r="K40">
            <v>35</v>
          </cell>
        </row>
        <row r="41">
          <cell r="B41">
            <v>2191565</v>
          </cell>
          <cell r="C41" t="str">
            <v>RAM 8GB DDR3 PC1600</v>
          </cell>
          <cell r="D41">
            <v>0</v>
          </cell>
          <cell r="E41">
            <v>42</v>
          </cell>
          <cell r="F41">
            <v>42</v>
          </cell>
          <cell r="G41">
            <v>0</v>
          </cell>
          <cell r="H41">
            <v>0.15</v>
          </cell>
          <cell r="I41">
            <v>50</v>
          </cell>
          <cell r="J41">
            <v>0.15</v>
          </cell>
          <cell r="K41">
            <v>50</v>
          </cell>
        </row>
        <row r="42">
          <cell r="B42">
            <v>0</v>
          </cell>
          <cell r="C42" t="e">
            <v>#N/A</v>
          </cell>
          <cell r="D42">
            <v>0</v>
          </cell>
          <cell r="E42">
            <v>0</v>
          </cell>
          <cell r="F42" t="e">
            <v>#N/A</v>
          </cell>
          <cell r="G42" t="e">
            <v>#N/A</v>
          </cell>
          <cell r="H42">
            <v>0</v>
          </cell>
          <cell r="I42">
            <v>0</v>
          </cell>
          <cell r="J42">
            <v>0</v>
          </cell>
          <cell r="K42" t="e">
            <v>#N/A</v>
          </cell>
        </row>
        <row r="43"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</row>
        <row r="44">
          <cell r="B44">
            <v>0</v>
          </cell>
          <cell r="C44" t="str">
            <v>Notebook RAM (SO-DIMM)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</row>
        <row r="45">
          <cell r="B45">
            <v>2696113</v>
          </cell>
          <cell r="C45" t="str">
            <v>RAM SO-DIMM 2GB DDR3 PC1600</v>
          </cell>
          <cell r="D45">
            <v>0</v>
          </cell>
          <cell r="E45">
            <v>13</v>
          </cell>
          <cell r="F45">
            <v>13</v>
          </cell>
          <cell r="G45">
            <v>0</v>
          </cell>
          <cell r="H45">
            <v>0.15</v>
          </cell>
          <cell r="I45">
            <v>16</v>
          </cell>
          <cell r="J45">
            <v>0.15</v>
          </cell>
          <cell r="K45">
            <v>16</v>
          </cell>
        </row>
        <row r="46">
          <cell r="B46">
            <v>2696103</v>
          </cell>
          <cell r="C46" t="str">
            <v>RAM SO-DIMM 4GB DDR3 PC1600</v>
          </cell>
          <cell r="D46">
            <v>0</v>
          </cell>
          <cell r="E46">
            <v>25</v>
          </cell>
          <cell r="F46">
            <v>28</v>
          </cell>
          <cell r="G46">
            <v>0.1071</v>
          </cell>
          <cell r="H46">
            <v>0.15</v>
          </cell>
          <cell r="I46">
            <v>30</v>
          </cell>
          <cell r="J46">
            <v>0.15</v>
          </cell>
          <cell r="K46">
            <v>33</v>
          </cell>
        </row>
        <row r="47">
          <cell r="B47">
            <v>2696106</v>
          </cell>
          <cell r="C47" t="str">
            <v>RAM SO-DIMM 8GB DDR3 PC1600</v>
          </cell>
          <cell r="D47">
            <v>0</v>
          </cell>
          <cell r="E47">
            <v>45</v>
          </cell>
          <cell r="F47">
            <v>49</v>
          </cell>
          <cell r="G47">
            <v>8.1600000000000006E-2</v>
          </cell>
          <cell r="H47">
            <v>0.15</v>
          </cell>
          <cell r="I47">
            <v>53</v>
          </cell>
          <cell r="J47">
            <v>0.15</v>
          </cell>
          <cell r="K47">
            <v>58</v>
          </cell>
        </row>
        <row r="48">
          <cell r="B48">
            <v>0</v>
          </cell>
          <cell r="C48" t="e">
            <v>#N/A</v>
          </cell>
          <cell r="D48">
            <v>0</v>
          </cell>
          <cell r="E48">
            <v>0</v>
          </cell>
          <cell r="F48" t="e">
            <v>#N/A</v>
          </cell>
          <cell r="G48" t="e">
            <v>#N/A</v>
          </cell>
          <cell r="H48">
            <v>0</v>
          </cell>
          <cell r="I48">
            <v>0</v>
          </cell>
          <cell r="J48">
            <v>0</v>
          </cell>
          <cell r="K48" t="e">
            <v>#N/A</v>
          </cell>
        </row>
        <row r="49"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</row>
        <row r="50">
          <cell r="B50" t="str">
            <v>Festplatten/ SSDs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</row>
        <row r="51">
          <cell r="B51">
            <v>0</v>
          </cell>
          <cell r="C51" t="str">
            <v>2,5" SSDs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</row>
        <row r="52">
          <cell r="B52">
            <v>2191472</v>
          </cell>
          <cell r="C52" t="str">
            <v>SSD 2.5" 330 Serie 60GB MLC SATA3</v>
          </cell>
          <cell r="D52" t="str">
            <v>EK +10%</v>
          </cell>
          <cell r="E52">
            <v>59.9</v>
          </cell>
          <cell r="F52">
            <v>66.56</v>
          </cell>
          <cell r="G52">
            <v>0.10009999999999999</v>
          </cell>
          <cell r="H52">
            <v>0.18</v>
          </cell>
          <cell r="I52">
            <v>74</v>
          </cell>
          <cell r="J52">
            <v>0.18</v>
          </cell>
          <cell r="K52">
            <v>82</v>
          </cell>
        </row>
        <row r="53">
          <cell r="B53">
            <v>2191432</v>
          </cell>
          <cell r="C53" t="str">
            <v>SSD 2.5" 520 Serie 60GB MLC SATA3</v>
          </cell>
          <cell r="D53" t="str">
            <v>EK +10%</v>
          </cell>
          <cell r="E53">
            <v>73.900000000000006</v>
          </cell>
          <cell r="F53">
            <v>82.11</v>
          </cell>
          <cell r="G53">
            <v>0.1</v>
          </cell>
          <cell r="H53">
            <v>0.18</v>
          </cell>
          <cell r="I53">
            <v>91</v>
          </cell>
          <cell r="J53">
            <v>0.18</v>
          </cell>
          <cell r="K53">
            <v>101</v>
          </cell>
        </row>
        <row r="54">
          <cell r="B54">
            <v>2191435</v>
          </cell>
          <cell r="C54" t="str">
            <v>SSD 2.5" 520 Serie 120GB MLC SATA3</v>
          </cell>
          <cell r="D54" t="str">
            <v>EK +10%</v>
          </cell>
          <cell r="E54">
            <v>110.88</v>
          </cell>
          <cell r="F54">
            <v>134.44</v>
          </cell>
          <cell r="G54">
            <v>0.17519999999999999</v>
          </cell>
          <cell r="H54">
            <v>0.18</v>
          </cell>
          <cell r="I54">
            <v>136</v>
          </cell>
          <cell r="J54">
            <v>0.18</v>
          </cell>
          <cell r="K54">
            <v>164</v>
          </cell>
        </row>
        <row r="55">
          <cell r="B55">
            <v>2191436</v>
          </cell>
          <cell r="C55" t="str">
            <v>SSD 2.5" 520 Serie 180GB MLC SATA3</v>
          </cell>
          <cell r="D55" t="str">
            <v>EK +10%</v>
          </cell>
          <cell r="E55">
            <v>135</v>
          </cell>
          <cell r="F55">
            <v>150</v>
          </cell>
          <cell r="G55">
            <v>0.1</v>
          </cell>
          <cell r="H55">
            <v>0.18</v>
          </cell>
          <cell r="I55">
            <v>165</v>
          </cell>
          <cell r="J55">
            <v>0.18</v>
          </cell>
          <cell r="K55">
            <v>183</v>
          </cell>
        </row>
        <row r="56">
          <cell r="B56">
            <v>2191439</v>
          </cell>
          <cell r="C56" t="str">
            <v>SSD 2.5" 520 Serie 240GB MLC SATA3</v>
          </cell>
          <cell r="D56" t="str">
            <v>EK +10%</v>
          </cell>
          <cell r="E56">
            <v>189</v>
          </cell>
          <cell r="F56">
            <v>210</v>
          </cell>
          <cell r="G56">
            <v>0.1</v>
          </cell>
          <cell r="H56">
            <v>0.18</v>
          </cell>
          <cell r="I56">
            <v>231</v>
          </cell>
          <cell r="J56">
            <v>0.18</v>
          </cell>
          <cell r="K56">
            <v>257</v>
          </cell>
        </row>
        <row r="57">
          <cell r="B57">
            <v>0</v>
          </cell>
          <cell r="C57" t="e">
            <v>#N/A</v>
          </cell>
          <cell r="D57">
            <v>0</v>
          </cell>
          <cell r="E57">
            <v>0</v>
          </cell>
          <cell r="F57" t="e">
            <v>#N/A</v>
          </cell>
          <cell r="G57" t="e">
            <v>#N/A</v>
          </cell>
          <cell r="H57">
            <v>0</v>
          </cell>
          <cell r="I57">
            <v>0</v>
          </cell>
          <cell r="J57">
            <v>0</v>
          </cell>
          <cell r="K57" t="e">
            <v>#N/A</v>
          </cell>
        </row>
        <row r="58"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</row>
        <row r="59">
          <cell r="B59">
            <v>0</v>
          </cell>
          <cell r="C59" t="str">
            <v>THA.leia 19" (VERFÜGBARKEIT PRÜFEN)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</row>
        <row r="60">
          <cell r="B60">
            <v>2191472</v>
          </cell>
          <cell r="C60" t="str">
            <v>SSD 2.5" 330 Serie 60GB MLC SATA3</v>
          </cell>
          <cell r="D60">
            <v>0</v>
          </cell>
          <cell r="E60">
            <v>59.9</v>
          </cell>
          <cell r="F60">
            <v>59.9</v>
          </cell>
          <cell r="G60">
            <v>0</v>
          </cell>
          <cell r="H60">
            <v>0</v>
          </cell>
          <cell r="I60">
            <v>60</v>
          </cell>
          <cell r="J60">
            <v>0</v>
          </cell>
          <cell r="K60">
            <v>60</v>
          </cell>
        </row>
        <row r="61">
          <cell r="B61">
            <v>2191473</v>
          </cell>
          <cell r="C61" t="str">
            <v>SSD 2.5" 330 Serie 120GB MLC SATA3</v>
          </cell>
          <cell r="D61">
            <v>0</v>
          </cell>
          <cell r="E61">
            <v>93</v>
          </cell>
          <cell r="F61">
            <v>93</v>
          </cell>
          <cell r="G61">
            <v>0</v>
          </cell>
          <cell r="H61">
            <v>0</v>
          </cell>
          <cell r="I61">
            <v>93</v>
          </cell>
          <cell r="J61">
            <v>0</v>
          </cell>
          <cell r="K61">
            <v>93</v>
          </cell>
        </row>
        <row r="62">
          <cell r="B62">
            <v>0</v>
          </cell>
          <cell r="C62" t="e">
            <v>#N/A</v>
          </cell>
          <cell r="D62">
            <v>0</v>
          </cell>
          <cell r="E62">
            <v>0</v>
          </cell>
          <cell r="F62" t="e">
            <v>#N/A</v>
          </cell>
          <cell r="G62" t="e">
            <v>#N/A</v>
          </cell>
          <cell r="H62">
            <v>0</v>
          </cell>
          <cell r="I62">
            <v>0</v>
          </cell>
          <cell r="J62">
            <v>0</v>
          </cell>
          <cell r="K62" t="e">
            <v>#N/A</v>
          </cell>
        </row>
        <row r="63"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</row>
        <row r="64">
          <cell r="B64">
            <v>0</v>
          </cell>
          <cell r="C64" t="str">
            <v>2,5" Notebook HDDs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</row>
        <row r="65">
          <cell r="B65">
            <v>2430048</v>
          </cell>
          <cell r="C65" t="str">
            <v>HDD 2.5" 100GB 4200rpm 24x7 ext. Temp SATA</v>
          </cell>
          <cell r="D65">
            <v>0</v>
          </cell>
          <cell r="E65">
            <v>117.5</v>
          </cell>
          <cell r="F65">
            <v>119</v>
          </cell>
          <cell r="G65">
            <v>1.26E-2</v>
          </cell>
          <cell r="H65">
            <v>0.18</v>
          </cell>
          <cell r="I65">
            <v>144</v>
          </cell>
          <cell r="J65">
            <v>0.18</v>
          </cell>
          <cell r="K65">
            <v>146</v>
          </cell>
        </row>
        <row r="66">
          <cell r="B66">
            <v>2430166</v>
          </cell>
          <cell r="C66" t="str">
            <v>HDD 2.5" 500GB 5400rpm SATA2</v>
          </cell>
          <cell r="D66">
            <v>0</v>
          </cell>
          <cell r="E66">
            <v>47.5</v>
          </cell>
          <cell r="F66">
            <v>29.9</v>
          </cell>
          <cell r="G66">
            <v>-0.58860000000000001</v>
          </cell>
          <cell r="H66">
            <v>0.18</v>
          </cell>
          <cell r="I66">
            <v>58</v>
          </cell>
          <cell r="J66">
            <v>0.18</v>
          </cell>
          <cell r="K66">
            <v>37</v>
          </cell>
        </row>
        <row r="67">
          <cell r="B67">
            <v>2430186</v>
          </cell>
          <cell r="C67" t="str">
            <v>HDD 2.5" 500GB 5400rpm SATA2</v>
          </cell>
          <cell r="D67">
            <v>0</v>
          </cell>
          <cell r="E67">
            <v>34.5</v>
          </cell>
          <cell r="F67">
            <v>36.5</v>
          </cell>
          <cell r="G67">
            <v>5.4800000000000001E-2</v>
          </cell>
          <cell r="H67">
            <v>0.18</v>
          </cell>
          <cell r="I67">
            <v>43</v>
          </cell>
          <cell r="J67">
            <v>0.18</v>
          </cell>
          <cell r="K67">
            <v>45</v>
          </cell>
        </row>
        <row r="68">
          <cell r="B68">
            <v>0</v>
          </cell>
          <cell r="C68" t="e">
            <v>#N/A</v>
          </cell>
          <cell r="D68">
            <v>0</v>
          </cell>
          <cell r="E68">
            <v>0</v>
          </cell>
          <cell r="F68" t="e">
            <v>#N/A</v>
          </cell>
          <cell r="G68" t="e">
            <v>#N/A</v>
          </cell>
          <cell r="H68">
            <v>0</v>
          </cell>
          <cell r="I68">
            <v>0</v>
          </cell>
          <cell r="J68">
            <v>0</v>
          </cell>
          <cell r="K68" t="e">
            <v>#N/A</v>
          </cell>
        </row>
        <row r="69"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</row>
        <row r="70">
          <cell r="B70">
            <v>0</v>
          </cell>
          <cell r="C70" t="str">
            <v>THA.leia 19" (VERFÜGBARKEIT PRÜFEN)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</row>
        <row r="71">
          <cell r="B71">
            <v>2430177</v>
          </cell>
          <cell r="C71" t="str">
            <v>HDD 2.5" 500GB 5400rpm SATA2</v>
          </cell>
          <cell r="D71">
            <v>0</v>
          </cell>
          <cell r="E71">
            <v>39.5</v>
          </cell>
          <cell r="F71">
            <v>35.9</v>
          </cell>
          <cell r="G71">
            <v>-0.1003</v>
          </cell>
          <cell r="H71">
            <v>0.18</v>
          </cell>
          <cell r="I71">
            <v>49</v>
          </cell>
          <cell r="J71">
            <v>0.18</v>
          </cell>
          <cell r="K71">
            <v>44</v>
          </cell>
        </row>
        <row r="72">
          <cell r="B72">
            <v>2430172</v>
          </cell>
          <cell r="C72" t="str">
            <v>HDD 2.5" 1TB 5400rpm SATA2</v>
          </cell>
          <cell r="D72">
            <v>0</v>
          </cell>
          <cell r="E72">
            <v>55.9</v>
          </cell>
          <cell r="F72">
            <v>52.9</v>
          </cell>
          <cell r="G72">
            <v>-5.67E-2</v>
          </cell>
          <cell r="H72">
            <v>0.18</v>
          </cell>
          <cell r="I72">
            <v>69</v>
          </cell>
          <cell r="J72">
            <v>0.18</v>
          </cell>
          <cell r="K72">
            <v>65</v>
          </cell>
        </row>
        <row r="73">
          <cell r="B73" t="str">
            <v>3400007M</v>
          </cell>
          <cell r="C73" t="str">
            <v>HDD 2.5" 500GB 5400rpm 24/7 SATA3</v>
          </cell>
          <cell r="D73">
            <v>0</v>
          </cell>
          <cell r="E73">
            <v>78.3</v>
          </cell>
          <cell r="F73">
            <v>78.3</v>
          </cell>
          <cell r="G73">
            <v>0</v>
          </cell>
          <cell r="H73">
            <v>0.18</v>
          </cell>
          <cell r="I73">
            <v>96</v>
          </cell>
          <cell r="J73">
            <v>0.18</v>
          </cell>
          <cell r="K73">
            <v>96</v>
          </cell>
        </row>
        <row r="74">
          <cell r="B74">
            <v>0</v>
          </cell>
          <cell r="C74" t="e">
            <v>#N/A</v>
          </cell>
          <cell r="D74">
            <v>0</v>
          </cell>
          <cell r="E74">
            <v>0</v>
          </cell>
          <cell r="F74" t="e">
            <v>#N/A</v>
          </cell>
          <cell r="G74" t="e">
            <v>#N/A</v>
          </cell>
          <cell r="H74">
            <v>0</v>
          </cell>
          <cell r="I74">
            <v>0</v>
          </cell>
          <cell r="J74">
            <v>0</v>
          </cell>
          <cell r="K74" t="e">
            <v>#N/A</v>
          </cell>
        </row>
        <row r="75"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</row>
        <row r="76">
          <cell r="B76">
            <v>0</v>
          </cell>
          <cell r="C76" t="str">
            <v>3,5" Desktop HDDs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</row>
        <row r="77">
          <cell r="B77">
            <v>2470873</v>
          </cell>
          <cell r="C77" t="str">
            <v>HDD 3.5" 500GB 7200rpm SATA3</v>
          </cell>
          <cell r="D77">
            <v>0</v>
          </cell>
          <cell r="E77">
            <v>38.5</v>
          </cell>
          <cell r="F77">
            <v>38.5</v>
          </cell>
          <cell r="G77">
            <v>0</v>
          </cell>
          <cell r="H77">
            <v>0.18</v>
          </cell>
          <cell r="I77">
            <v>47</v>
          </cell>
          <cell r="J77">
            <v>0.18</v>
          </cell>
          <cell r="K77">
            <v>47</v>
          </cell>
        </row>
        <row r="78">
          <cell r="B78">
            <v>2470926</v>
          </cell>
          <cell r="C78" t="str">
            <v>HDD 3.5" 1TB 7200rpm SATA3</v>
          </cell>
          <cell r="D78">
            <v>0</v>
          </cell>
          <cell r="E78">
            <v>48.5</v>
          </cell>
          <cell r="F78">
            <v>46.9</v>
          </cell>
          <cell r="G78">
            <v>-3.4099999999999998E-2</v>
          </cell>
          <cell r="H78">
            <v>0.18</v>
          </cell>
          <cell r="I78">
            <v>60</v>
          </cell>
          <cell r="J78">
            <v>0.18</v>
          </cell>
          <cell r="K78">
            <v>58</v>
          </cell>
        </row>
        <row r="79">
          <cell r="B79">
            <v>2470935</v>
          </cell>
          <cell r="C79" t="str">
            <v>HDD 3.5" 2TB 7200rpm SATA3</v>
          </cell>
          <cell r="D79">
            <v>0</v>
          </cell>
          <cell r="E79">
            <v>65.900000000000006</v>
          </cell>
          <cell r="F79">
            <v>64.900000000000006</v>
          </cell>
          <cell r="G79">
            <v>-1.54E-2</v>
          </cell>
          <cell r="H79">
            <v>0.18</v>
          </cell>
          <cell r="I79">
            <v>81</v>
          </cell>
          <cell r="J79">
            <v>0.18</v>
          </cell>
          <cell r="K79">
            <v>80</v>
          </cell>
        </row>
        <row r="80">
          <cell r="B80">
            <v>0</v>
          </cell>
          <cell r="C80" t="str">
            <v>RAID HDDs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</row>
        <row r="81">
          <cell r="B81">
            <v>2470957</v>
          </cell>
          <cell r="C81" t="str">
            <v>RAID HDD 3.5" 500 GB SATA3</v>
          </cell>
          <cell r="D81">
            <v>0</v>
          </cell>
          <cell r="E81">
            <v>63</v>
          </cell>
          <cell r="F81">
            <v>60</v>
          </cell>
          <cell r="G81">
            <v>-0.05</v>
          </cell>
          <cell r="H81">
            <v>0.18</v>
          </cell>
          <cell r="I81">
            <v>77</v>
          </cell>
          <cell r="J81">
            <v>0.18</v>
          </cell>
          <cell r="K81">
            <v>74</v>
          </cell>
        </row>
        <row r="82">
          <cell r="B82">
            <v>2470956</v>
          </cell>
          <cell r="C82" t="str">
            <v>RAID HDD 3.5" 1TB SATA3</v>
          </cell>
          <cell r="D82">
            <v>0</v>
          </cell>
          <cell r="E82">
            <v>82.5</v>
          </cell>
          <cell r="F82">
            <v>85</v>
          </cell>
          <cell r="G82">
            <v>2.9399999999999999E-2</v>
          </cell>
          <cell r="H82">
            <v>0.18</v>
          </cell>
          <cell r="I82">
            <v>101</v>
          </cell>
          <cell r="J82">
            <v>0.18</v>
          </cell>
          <cell r="K82">
            <v>104</v>
          </cell>
        </row>
        <row r="83">
          <cell r="B83">
            <v>2470868</v>
          </cell>
          <cell r="C83" t="str">
            <v>RAID HDD 3.5" 2TB SATA3</v>
          </cell>
          <cell r="D83">
            <v>0</v>
          </cell>
          <cell r="E83">
            <v>139.9</v>
          </cell>
          <cell r="F83">
            <v>125</v>
          </cell>
          <cell r="G83">
            <v>-0.1192</v>
          </cell>
          <cell r="H83">
            <v>0.18</v>
          </cell>
          <cell r="I83">
            <v>171</v>
          </cell>
          <cell r="J83">
            <v>0.18</v>
          </cell>
          <cell r="K83">
            <v>153</v>
          </cell>
        </row>
        <row r="84">
          <cell r="B84">
            <v>0</v>
          </cell>
          <cell r="C84" t="e">
            <v>#N/A</v>
          </cell>
          <cell r="D84">
            <v>0</v>
          </cell>
          <cell r="E84">
            <v>0</v>
          </cell>
          <cell r="F84" t="e">
            <v>#N/A</v>
          </cell>
          <cell r="G84" t="e">
            <v>#N/A</v>
          </cell>
          <cell r="H84">
            <v>0</v>
          </cell>
          <cell r="I84">
            <v>0</v>
          </cell>
          <cell r="J84">
            <v>0</v>
          </cell>
          <cell r="K84" t="e">
            <v>#N/A</v>
          </cell>
        </row>
        <row r="85">
          <cell r="B85">
            <v>0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</row>
        <row r="86">
          <cell r="B86">
            <v>0</v>
          </cell>
          <cell r="C86" t="str">
            <v>Optionale RAID-Level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</row>
        <row r="87">
          <cell r="B87">
            <v>9990112</v>
          </cell>
          <cell r="C87" t="str">
            <v>=&gt; HDDs im Raid Level  0 - Verbund (Striping)</v>
          </cell>
          <cell r="D87">
            <v>0</v>
          </cell>
          <cell r="E87">
            <v>0</v>
          </cell>
          <cell r="F87">
            <v>0</v>
          </cell>
          <cell r="G87" t="e">
            <v>#DIV/0!</v>
          </cell>
          <cell r="H87">
            <v>0.18</v>
          </cell>
          <cell r="I87">
            <v>0</v>
          </cell>
          <cell r="J87">
            <v>0.18</v>
          </cell>
          <cell r="K87">
            <v>0</v>
          </cell>
        </row>
        <row r="88">
          <cell r="B88">
            <v>9990113</v>
          </cell>
          <cell r="C88" t="str">
            <v>=&gt; HDDs im Raid Level  1 - Verbund (Mirroring)</v>
          </cell>
          <cell r="D88">
            <v>0</v>
          </cell>
          <cell r="E88">
            <v>0</v>
          </cell>
          <cell r="F88">
            <v>0</v>
          </cell>
          <cell r="G88" t="e">
            <v>#DIV/0!</v>
          </cell>
          <cell r="H88">
            <v>0.18</v>
          </cell>
          <cell r="I88">
            <v>0</v>
          </cell>
          <cell r="J88">
            <v>0.18</v>
          </cell>
          <cell r="K88">
            <v>0</v>
          </cell>
        </row>
        <row r="89">
          <cell r="B89">
            <v>0</v>
          </cell>
          <cell r="C89" t="e">
            <v>#N/A</v>
          </cell>
          <cell r="D89">
            <v>0</v>
          </cell>
          <cell r="E89">
            <v>0</v>
          </cell>
          <cell r="F89" t="e">
            <v>#N/A</v>
          </cell>
          <cell r="G89" t="e">
            <v>#N/A</v>
          </cell>
          <cell r="H89">
            <v>0</v>
          </cell>
          <cell r="I89">
            <v>0</v>
          </cell>
          <cell r="J89">
            <v>0</v>
          </cell>
          <cell r="K89" t="e">
            <v>#N/A</v>
          </cell>
        </row>
        <row r="90"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</row>
        <row r="91">
          <cell r="B91" t="str">
            <v>opt. Laufwerke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</row>
        <row r="92">
          <cell r="B92">
            <v>0</v>
          </cell>
          <cell r="C92" t="str">
            <v>5 1/4" opt. Laufwerk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</row>
        <row r="93">
          <cell r="B93">
            <v>2260242</v>
          </cell>
          <cell r="C93" t="str">
            <v>Laufwerk DVD±RW SATA IHAS124-19</v>
          </cell>
          <cell r="D93">
            <v>14.5</v>
          </cell>
          <cell r="E93">
            <v>17</v>
          </cell>
          <cell r="F93">
            <v>17</v>
          </cell>
          <cell r="G93">
            <v>0</v>
          </cell>
          <cell r="H93">
            <v>0.18</v>
          </cell>
          <cell r="I93">
            <v>21</v>
          </cell>
          <cell r="J93">
            <v>0.18</v>
          </cell>
          <cell r="K93">
            <v>21</v>
          </cell>
        </row>
        <row r="94">
          <cell r="B94">
            <v>2260207</v>
          </cell>
          <cell r="C94" t="str">
            <v>Blende weiß für DVD Laufwerk</v>
          </cell>
          <cell r="D94">
            <v>2.5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</row>
        <row r="95">
          <cell r="B95">
            <v>0</v>
          </cell>
          <cell r="C95" t="e">
            <v>#N/A</v>
          </cell>
          <cell r="D95">
            <v>0</v>
          </cell>
          <cell r="E95">
            <v>0</v>
          </cell>
          <cell r="F95" t="e">
            <v>#N/A</v>
          </cell>
          <cell r="G95" t="e">
            <v>#N/A</v>
          </cell>
          <cell r="H95">
            <v>0</v>
          </cell>
          <cell r="I95">
            <v>0</v>
          </cell>
          <cell r="J95">
            <v>0</v>
          </cell>
          <cell r="K95" t="e">
            <v>#N/A</v>
          </cell>
        </row>
        <row r="96">
          <cell r="B96">
            <v>0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</row>
        <row r="97">
          <cell r="B97">
            <v>0</v>
          </cell>
          <cell r="C97" t="str">
            <v>Slot-In Slim Line opt. Laufwerk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</row>
        <row r="98">
          <cell r="B98">
            <v>2250373</v>
          </cell>
          <cell r="C98" t="str">
            <v>Laufwerk Slim DVD±RW SATA Slot BC-5650H</v>
          </cell>
          <cell r="D98">
            <v>79</v>
          </cell>
          <cell r="E98">
            <v>85.71</v>
          </cell>
          <cell r="F98">
            <v>85.71</v>
          </cell>
          <cell r="G98">
            <v>0</v>
          </cell>
          <cell r="H98">
            <v>0.18</v>
          </cell>
          <cell r="I98">
            <v>105</v>
          </cell>
          <cell r="J98">
            <v>0.18</v>
          </cell>
          <cell r="K98">
            <v>105</v>
          </cell>
        </row>
        <row r="99">
          <cell r="B99" t="str">
            <v>7100037M</v>
          </cell>
          <cell r="C99" t="str">
            <v>Kabel SATA Slim nach SATA 7pin+2pin Strom</v>
          </cell>
          <cell r="D99">
            <v>1.7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</row>
        <row r="100">
          <cell r="B100">
            <v>9827080</v>
          </cell>
          <cell r="C100" t="str">
            <v>Halter opt. Slim-Laufwerk für AESCU.certus1+2</v>
          </cell>
          <cell r="D100">
            <v>5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</row>
        <row r="101">
          <cell r="B101">
            <v>9824534</v>
          </cell>
          <cell r="C101" t="str">
            <v>Gehäuse AC1 Sicherungsmutter verz. M4</v>
          </cell>
          <cell r="D101">
            <v>0.01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</row>
        <row r="102">
          <cell r="B102">
            <v>0</v>
          </cell>
          <cell r="C102" t="e">
            <v>#N/A</v>
          </cell>
          <cell r="D102">
            <v>0</v>
          </cell>
          <cell r="E102">
            <v>0</v>
          </cell>
          <cell r="F102" t="e">
            <v>#N/A</v>
          </cell>
          <cell r="G102" t="e">
            <v>#N/A</v>
          </cell>
          <cell r="H102">
            <v>0</v>
          </cell>
          <cell r="I102">
            <v>0</v>
          </cell>
          <cell r="J102">
            <v>0</v>
          </cell>
          <cell r="K102" t="e">
            <v>#N/A</v>
          </cell>
        </row>
        <row r="103">
          <cell r="B103">
            <v>0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</row>
        <row r="104">
          <cell r="B104" t="str">
            <v>8190001M</v>
          </cell>
          <cell r="C104" t="str">
            <v>Abgaben und Gebühren</v>
          </cell>
          <cell r="D104" t="str">
            <v>Pauschale</v>
          </cell>
          <cell r="E104">
            <v>0</v>
          </cell>
          <cell r="F104">
            <v>38</v>
          </cell>
          <cell r="G104">
            <v>0</v>
          </cell>
          <cell r="H104">
            <v>0</v>
          </cell>
          <cell r="I104">
            <v>38</v>
          </cell>
          <cell r="J104">
            <v>0</v>
          </cell>
          <cell r="K104">
            <v>38</v>
          </cell>
        </row>
        <row r="105">
          <cell r="B105">
            <v>0</v>
          </cell>
          <cell r="C105" t="e">
            <v>#N/A</v>
          </cell>
          <cell r="D105">
            <v>0</v>
          </cell>
          <cell r="E105">
            <v>0</v>
          </cell>
          <cell r="F105" t="e">
            <v>#N/A</v>
          </cell>
          <cell r="G105">
            <v>0</v>
          </cell>
          <cell r="H105">
            <v>0</v>
          </cell>
          <cell r="I105">
            <v>38</v>
          </cell>
          <cell r="J105">
            <v>0</v>
          </cell>
          <cell r="K105" t="e">
            <v>#N/A</v>
          </cell>
        </row>
        <row r="106">
          <cell r="B106">
            <v>0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</row>
        <row r="107">
          <cell r="B107" t="str">
            <v>Zusatzkarten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</row>
        <row r="108">
          <cell r="B108">
            <v>0</v>
          </cell>
          <cell r="C108" t="str">
            <v>PANA.ceia²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</row>
        <row r="109">
          <cell r="B109">
            <v>0</v>
          </cell>
          <cell r="C109" t="str">
            <v>PCI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</row>
        <row r="110">
          <cell r="B110">
            <v>2131939</v>
          </cell>
          <cell r="C110" t="str">
            <v>IO PCIe 2x USB3.0 intern</v>
          </cell>
          <cell r="D110">
            <v>0</v>
          </cell>
          <cell r="E110">
            <v>11.5</v>
          </cell>
          <cell r="F110">
            <v>11.5</v>
          </cell>
          <cell r="G110">
            <v>0</v>
          </cell>
          <cell r="H110">
            <v>0.18</v>
          </cell>
          <cell r="I110">
            <v>15</v>
          </cell>
          <cell r="J110">
            <v>0.18</v>
          </cell>
          <cell r="K110">
            <v>15</v>
          </cell>
        </row>
        <row r="111">
          <cell r="B111" t="str">
            <v>3600020M</v>
          </cell>
          <cell r="C111" t="str">
            <v>PCI 2x Seriell Extern</v>
          </cell>
          <cell r="D111">
            <v>0</v>
          </cell>
          <cell r="E111">
            <v>17.3</v>
          </cell>
          <cell r="F111">
            <v>17.3</v>
          </cell>
          <cell r="G111">
            <v>0</v>
          </cell>
          <cell r="H111">
            <v>0.18</v>
          </cell>
          <cell r="I111">
            <v>22</v>
          </cell>
          <cell r="J111">
            <v>0.18</v>
          </cell>
          <cell r="K111">
            <v>22</v>
          </cell>
        </row>
        <row r="112">
          <cell r="B112">
            <v>2131940</v>
          </cell>
          <cell r="C112" t="str">
            <v>IO PCI 4xRS-232 Karte intern</v>
          </cell>
          <cell r="D112">
            <v>0</v>
          </cell>
          <cell r="E112">
            <v>46.1</v>
          </cell>
          <cell r="F112">
            <v>46.1</v>
          </cell>
          <cell r="G112">
            <v>0</v>
          </cell>
          <cell r="H112">
            <v>0.18</v>
          </cell>
          <cell r="I112">
            <v>57</v>
          </cell>
          <cell r="J112">
            <v>0.18</v>
          </cell>
          <cell r="K112">
            <v>57</v>
          </cell>
        </row>
        <row r="113">
          <cell r="B113">
            <v>0</v>
          </cell>
          <cell r="C113" t="e">
            <v>#N/A</v>
          </cell>
          <cell r="D113">
            <v>0</v>
          </cell>
          <cell r="E113">
            <v>0</v>
          </cell>
          <cell r="F113" t="e">
            <v>#N/A</v>
          </cell>
          <cell r="G113" t="e">
            <v>#N/A</v>
          </cell>
          <cell r="H113">
            <v>0</v>
          </cell>
          <cell r="I113" t="e">
            <v>#N/A</v>
          </cell>
          <cell r="J113">
            <v>0</v>
          </cell>
          <cell r="K113" t="e">
            <v>#N/A</v>
          </cell>
        </row>
        <row r="114">
          <cell r="B114">
            <v>0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</row>
        <row r="115">
          <cell r="B115">
            <v>0</v>
          </cell>
          <cell r="C115" t="str">
            <v>PCIex1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</row>
        <row r="116">
          <cell r="B116" t="str">
            <v>3100009M</v>
          </cell>
          <cell r="C116" t="str">
            <v>Blackmagic DeckLink SDI</v>
          </cell>
          <cell r="D116">
            <v>0</v>
          </cell>
          <cell r="E116">
            <v>189.5</v>
          </cell>
          <cell r="F116">
            <v>189.5</v>
          </cell>
          <cell r="G116">
            <v>0</v>
          </cell>
          <cell r="H116">
            <v>0.18</v>
          </cell>
          <cell r="I116">
            <v>232</v>
          </cell>
          <cell r="J116">
            <v>0.18</v>
          </cell>
          <cell r="K116">
            <v>232</v>
          </cell>
        </row>
        <row r="117">
          <cell r="B117" t="str">
            <v>3100008M</v>
          </cell>
          <cell r="C117" t="str">
            <v>AT-2712FX/SC-001 Secure PCIE X</v>
          </cell>
          <cell r="D117">
            <v>0</v>
          </cell>
          <cell r="E117">
            <v>104.36</v>
          </cell>
          <cell r="F117">
            <v>104.36</v>
          </cell>
          <cell r="G117">
            <v>0</v>
          </cell>
          <cell r="H117">
            <v>0.18</v>
          </cell>
          <cell r="I117">
            <v>128</v>
          </cell>
          <cell r="J117">
            <v>0.18</v>
          </cell>
          <cell r="K117">
            <v>128</v>
          </cell>
        </row>
        <row r="118">
          <cell r="B118">
            <v>3750041</v>
          </cell>
          <cell r="C118" t="str">
            <v>Netzwerkkarte Intel Pro PCIex1 EXP19301CT, LP</v>
          </cell>
          <cell r="D118">
            <v>0</v>
          </cell>
          <cell r="E118">
            <v>18.5</v>
          </cell>
          <cell r="F118">
            <v>18.5</v>
          </cell>
          <cell r="G118">
            <v>0</v>
          </cell>
          <cell r="H118">
            <v>0.18</v>
          </cell>
          <cell r="I118">
            <v>23</v>
          </cell>
          <cell r="J118">
            <v>0.18</v>
          </cell>
          <cell r="K118">
            <v>23</v>
          </cell>
        </row>
        <row r="119">
          <cell r="B119">
            <v>0</v>
          </cell>
          <cell r="C119" t="e">
            <v>#N/A</v>
          </cell>
          <cell r="D119">
            <v>0</v>
          </cell>
          <cell r="E119">
            <v>0</v>
          </cell>
          <cell r="F119" t="e">
            <v>#N/A</v>
          </cell>
          <cell r="G119" t="e">
            <v>#N/A</v>
          </cell>
          <cell r="H119">
            <v>0</v>
          </cell>
          <cell r="I119">
            <v>0</v>
          </cell>
          <cell r="J119">
            <v>0</v>
          </cell>
          <cell r="K119" t="e">
            <v>#N/A</v>
          </cell>
        </row>
        <row r="120"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</row>
        <row r="121">
          <cell r="B121">
            <v>0</v>
          </cell>
          <cell r="C121" t="str">
            <v>PCIex16 Gen2 (4 Lanes)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</row>
        <row r="122">
          <cell r="B122">
            <v>2590315</v>
          </cell>
          <cell r="C122" t="str">
            <v>Grafikkarte PCIe 1024MB Quadro 2000D  2xDVI Bulk</v>
          </cell>
          <cell r="D122">
            <v>0</v>
          </cell>
          <cell r="E122">
            <v>339</v>
          </cell>
          <cell r="F122">
            <v>348</v>
          </cell>
          <cell r="G122">
            <v>2.5899999999999999E-2</v>
          </cell>
          <cell r="H122">
            <v>0.18</v>
          </cell>
          <cell r="I122">
            <v>414</v>
          </cell>
          <cell r="J122">
            <v>0.18</v>
          </cell>
          <cell r="K122">
            <v>425</v>
          </cell>
        </row>
        <row r="123">
          <cell r="B123" t="str">
            <v>3100010M</v>
          </cell>
          <cell r="C123" t="str">
            <v>Topcon Grafikkarte PCIe 1024MB GF-GT520 Palit</v>
          </cell>
          <cell r="D123">
            <v>0</v>
          </cell>
          <cell r="E123">
            <v>0</v>
          </cell>
          <cell r="F123">
            <v>0</v>
          </cell>
          <cell r="G123" t="e">
            <v>#DIV/0!</v>
          </cell>
          <cell r="H123">
            <v>0.18</v>
          </cell>
          <cell r="I123">
            <v>0</v>
          </cell>
          <cell r="J123">
            <v>0.18</v>
          </cell>
          <cell r="K123">
            <v>0</v>
          </cell>
        </row>
        <row r="124">
          <cell r="B124">
            <v>0</v>
          </cell>
          <cell r="C124" t="e">
            <v>#N/A</v>
          </cell>
          <cell r="D124">
            <v>0</v>
          </cell>
          <cell r="E124">
            <v>0</v>
          </cell>
          <cell r="F124" t="e">
            <v>#N/A</v>
          </cell>
          <cell r="G124" t="e">
            <v>#N/A</v>
          </cell>
          <cell r="H124">
            <v>0</v>
          </cell>
          <cell r="I124">
            <v>0</v>
          </cell>
          <cell r="J124">
            <v>0</v>
          </cell>
          <cell r="K124" t="e">
            <v>#N/A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</row>
        <row r="126">
          <cell r="B126">
            <v>0</v>
          </cell>
          <cell r="C126" t="str">
            <v>PCIex16 Gen3 (16 Lanes)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</row>
        <row r="127">
          <cell r="B127" t="str">
            <v>3100004M</v>
          </cell>
          <cell r="C127" t="str">
            <v>Decklink HD Extreme 3</v>
          </cell>
          <cell r="D127">
            <v>0</v>
          </cell>
          <cell r="E127">
            <v>0</v>
          </cell>
          <cell r="F127">
            <v>0</v>
          </cell>
          <cell r="G127" t="e">
            <v>#DIV/0!</v>
          </cell>
          <cell r="H127">
            <v>0.18</v>
          </cell>
          <cell r="I127">
            <v>0</v>
          </cell>
          <cell r="J127">
            <v>0.18</v>
          </cell>
          <cell r="K127">
            <v>0</v>
          </cell>
        </row>
        <row r="128">
          <cell r="B128" t="str">
            <v>3600021M</v>
          </cell>
          <cell r="C128" t="str">
            <v>E&amp;L Framegrabber BMD 4k Extreme</v>
          </cell>
          <cell r="D128">
            <v>0</v>
          </cell>
          <cell r="E128">
            <v>0</v>
          </cell>
          <cell r="F128">
            <v>0</v>
          </cell>
          <cell r="G128" t="e">
            <v>#DIV/0!</v>
          </cell>
          <cell r="H128">
            <v>0.18</v>
          </cell>
          <cell r="I128">
            <v>0</v>
          </cell>
          <cell r="J128">
            <v>0.18</v>
          </cell>
          <cell r="K128">
            <v>0</v>
          </cell>
        </row>
        <row r="129">
          <cell r="B129">
            <v>0</v>
          </cell>
          <cell r="C129" t="e">
            <v>#N/A</v>
          </cell>
          <cell r="D129">
            <v>0</v>
          </cell>
          <cell r="E129">
            <v>0</v>
          </cell>
          <cell r="F129" t="e">
            <v>#N/A</v>
          </cell>
          <cell r="G129" t="e">
            <v>#N/A</v>
          </cell>
          <cell r="H129">
            <v>0</v>
          </cell>
          <cell r="I129">
            <v>0</v>
          </cell>
          <cell r="J129">
            <v>0</v>
          </cell>
          <cell r="K129" t="e">
            <v>#N/A</v>
          </cell>
        </row>
        <row r="130">
          <cell r="B130">
            <v>0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</row>
        <row r="131">
          <cell r="B131">
            <v>0</v>
          </cell>
          <cell r="C131" t="str">
            <v>AESCU.certus²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</row>
        <row r="132">
          <cell r="B132">
            <v>2570151</v>
          </cell>
          <cell r="C132" t="str">
            <v>Grafikkarte PCIe 512 MB GF-8400GS HD</v>
          </cell>
          <cell r="D132">
            <v>0</v>
          </cell>
          <cell r="E132">
            <v>19.899999999999999</v>
          </cell>
          <cell r="F132">
            <v>19.95</v>
          </cell>
          <cell r="G132">
            <v>2.5000000000000001E-3</v>
          </cell>
          <cell r="H132">
            <v>0.18</v>
          </cell>
          <cell r="I132">
            <v>25</v>
          </cell>
          <cell r="J132">
            <v>0.18</v>
          </cell>
          <cell r="K132">
            <v>25</v>
          </cell>
        </row>
        <row r="133">
          <cell r="B133" t="str">
            <v>3100009M</v>
          </cell>
          <cell r="C133" t="str">
            <v>Blackmagic DeckLink SDI</v>
          </cell>
          <cell r="D133">
            <v>0</v>
          </cell>
          <cell r="E133">
            <v>189.5</v>
          </cell>
          <cell r="F133">
            <v>189.5</v>
          </cell>
          <cell r="G133">
            <v>0</v>
          </cell>
          <cell r="H133">
            <v>0.18</v>
          </cell>
          <cell r="I133">
            <v>232</v>
          </cell>
          <cell r="J133">
            <v>0.18</v>
          </cell>
          <cell r="K133">
            <v>232</v>
          </cell>
        </row>
        <row r="134">
          <cell r="B134" t="str">
            <v>7000054M</v>
          </cell>
          <cell r="C134" t="str">
            <v>Reinigungsschwamm AESCU.certus Kühlrippen</v>
          </cell>
          <cell r="D134">
            <v>0</v>
          </cell>
          <cell r="E134">
            <v>1.0900000000000001</v>
          </cell>
          <cell r="F134">
            <v>1.0900000000000001</v>
          </cell>
          <cell r="G134">
            <v>0</v>
          </cell>
          <cell r="H134">
            <v>0.78</v>
          </cell>
          <cell r="I134">
            <v>5</v>
          </cell>
          <cell r="J134">
            <v>0.78</v>
          </cell>
          <cell r="K134">
            <v>5</v>
          </cell>
        </row>
        <row r="135">
          <cell r="B135">
            <v>0</v>
          </cell>
          <cell r="C135" t="e">
            <v>#N/A</v>
          </cell>
          <cell r="D135">
            <v>0</v>
          </cell>
          <cell r="E135">
            <v>0</v>
          </cell>
          <cell r="F135" t="e">
            <v>#N/A</v>
          </cell>
          <cell r="G135" t="e">
            <v>#N/A</v>
          </cell>
          <cell r="H135">
            <v>0</v>
          </cell>
          <cell r="I135">
            <v>0</v>
          </cell>
          <cell r="J135">
            <v>0</v>
          </cell>
          <cell r="K135" t="e">
            <v>#N/A</v>
          </cell>
        </row>
        <row r="136">
          <cell r="B136">
            <v>0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</row>
        <row r="137">
          <cell r="B137">
            <v>0</v>
          </cell>
          <cell r="C137" t="str">
            <v>THA.leia 19"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</row>
        <row r="138">
          <cell r="B138">
            <v>8000012</v>
          </cell>
          <cell r="C138" t="str">
            <v>Framegrabber Falcon PCI</v>
          </cell>
          <cell r="D138">
            <v>0</v>
          </cell>
          <cell r="E138">
            <v>193</v>
          </cell>
          <cell r="F138">
            <v>193</v>
          </cell>
          <cell r="G138">
            <v>0</v>
          </cell>
          <cell r="H138">
            <v>0.18</v>
          </cell>
          <cell r="I138">
            <v>236</v>
          </cell>
          <cell r="J138">
            <v>0.18</v>
          </cell>
          <cell r="K138">
            <v>236</v>
          </cell>
        </row>
        <row r="139">
          <cell r="B139">
            <v>3800023</v>
          </cell>
          <cell r="C139" t="str">
            <v>LevelOne PCI Adapter 100Mbit Fiber ST-Duplex +++</v>
          </cell>
          <cell r="D139">
            <v>0</v>
          </cell>
          <cell r="E139">
            <v>57.4</v>
          </cell>
          <cell r="F139">
            <v>57.4</v>
          </cell>
          <cell r="G139">
            <v>0</v>
          </cell>
          <cell r="H139">
            <v>0.18</v>
          </cell>
          <cell r="I139">
            <v>70</v>
          </cell>
          <cell r="J139">
            <v>0.18</v>
          </cell>
          <cell r="K139">
            <v>70</v>
          </cell>
        </row>
        <row r="140">
          <cell r="B140">
            <v>0</v>
          </cell>
          <cell r="C140" t="e">
            <v>#N/A</v>
          </cell>
          <cell r="D140">
            <v>0</v>
          </cell>
          <cell r="E140">
            <v>0</v>
          </cell>
          <cell r="F140" t="e">
            <v>#N/A</v>
          </cell>
          <cell r="G140" t="e">
            <v>#N/A</v>
          </cell>
          <cell r="H140">
            <v>0</v>
          </cell>
          <cell r="I140">
            <v>0</v>
          </cell>
          <cell r="J140">
            <v>0</v>
          </cell>
          <cell r="K140" t="e">
            <v>#N/A</v>
          </cell>
        </row>
        <row r="141">
          <cell r="B141">
            <v>0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</row>
        <row r="142">
          <cell r="B142" t="str">
            <v>Betriebssysteme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</row>
        <row r="143">
          <cell r="B143">
            <v>0</v>
          </cell>
          <cell r="C143" t="str">
            <v>Windows 7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</row>
        <row r="144">
          <cell r="B144">
            <v>6506222</v>
          </cell>
          <cell r="C144" t="str">
            <v>Windows 7 Prof. MCD MUI-DVD 32/64Bit</v>
          </cell>
          <cell r="D144">
            <v>1</v>
          </cell>
          <cell r="E144">
            <v>96</v>
          </cell>
          <cell r="F144">
            <v>97.9</v>
          </cell>
          <cell r="G144">
            <v>1.9400000000000001E-2</v>
          </cell>
          <cell r="H144">
            <v>0.15</v>
          </cell>
          <cell r="I144">
            <v>113</v>
          </cell>
          <cell r="J144">
            <v>0.15</v>
          </cell>
          <cell r="K144">
            <v>116</v>
          </cell>
        </row>
        <row r="145">
          <cell r="B145">
            <v>6506125</v>
          </cell>
          <cell r="C145" t="str">
            <v>Windows 7 Prof. MCD COA 32/64bit</v>
          </cell>
          <cell r="D145">
            <v>96.9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</row>
        <row r="146">
          <cell r="B146">
            <v>9990410</v>
          </cell>
          <cell r="C146" t="str">
            <v>=&gt; Windows 7 Prof. 32bit DE vorinstalliert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</row>
        <row r="147">
          <cell r="B147">
            <v>9990411</v>
          </cell>
          <cell r="C147" t="str">
            <v>=&gt; Windows 7 Prof. 32bit UK vorinstalliert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</row>
        <row r="148">
          <cell r="B148">
            <v>9990415</v>
          </cell>
          <cell r="C148" t="str">
            <v>=&gt; Windows 7 Prof. 64bit DE vorinstalliert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</row>
        <row r="149">
          <cell r="B149">
            <v>9990416</v>
          </cell>
          <cell r="C149" t="str">
            <v>=&gt; Windows 7 Prof. 64bit UK vorinstalliert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</row>
        <row r="150">
          <cell r="B150">
            <v>9990380</v>
          </cell>
          <cell r="C150" t="str">
            <v>=&gt; Windows 7 - neutrale Installation -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</row>
        <row r="151">
          <cell r="B151">
            <v>0</v>
          </cell>
          <cell r="C151" t="e">
            <v>#N/A</v>
          </cell>
          <cell r="D151">
            <v>0</v>
          </cell>
          <cell r="E151">
            <v>0</v>
          </cell>
          <cell r="F151" t="e">
            <v>#N/A</v>
          </cell>
          <cell r="G151" t="e">
            <v>#N/A</v>
          </cell>
          <cell r="H151">
            <v>0</v>
          </cell>
          <cell r="I151">
            <v>0</v>
          </cell>
          <cell r="J151">
            <v>0</v>
          </cell>
          <cell r="K151" t="e">
            <v>#N/A</v>
          </cell>
        </row>
        <row r="152">
          <cell r="B152">
            <v>0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</row>
        <row r="153">
          <cell r="B153" t="str">
            <v>Zubehör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</row>
        <row r="154">
          <cell r="B154">
            <v>0</v>
          </cell>
          <cell r="C154" t="str">
            <v>LCD Power Adapter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</row>
        <row r="155">
          <cell r="B155">
            <v>3010062</v>
          </cell>
          <cell r="C155" t="str">
            <v>LCD Power Adapter Typ A</v>
          </cell>
          <cell r="D155">
            <v>21</v>
          </cell>
          <cell r="E155">
            <v>36.46</v>
          </cell>
          <cell r="F155">
            <v>36.46</v>
          </cell>
          <cell r="G155">
            <v>0</v>
          </cell>
          <cell r="H155">
            <v>0.22</v>
          </cell>
          <cell r="I155">
            <v>47</v>
          </cell>
          <cell r="J155">
            <v>0.22</v>
          </cell>
          <cell r="K155">
            <v>47</v>
          </cell>
        </row>
        <row r="156">
          <cell r="B156">
            <v>6001014</v>
          </cell>
          <cell r="C156" t="str">
            <v>MPG Sicherungsadapter</v>
          </cell>
          <cell r="D156">
            <v>14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</row>
        <row r="157">
          <cell r="B157" t="str">
            <v>7000047M</v>
          </cell>
          <cell r="C157" t="str">
            <v>Sicherungshalter UL FX0380/BK</v>
          </cell>
          <cell r="D157">
            <v>1.29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</row>
        <row r="158">
          <cell r="B158" t="str">
            <v>7000055M</v>
          </cell>
          <cell r="C158" t="str">
            <v>Feinsicherung 5x20mm 4A 250V 522.523 4A</v>
          </cell>
          <cell r="D158">
            <v>0.17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</row>
        <row r="159">
          <cell r="B159">
            <v>0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</row>
        <row r="160">
          <cell r="B160" t="str">
            <v>7100087M</v>
          </cell>
          <cell r="C160" t="str">
            <v>LCD Power Adapter Typ A (4A Sicherungsadapter)</v>
          </cell>
          <cell r="D160">
            <v>0</v>
          </cell>
          <cell r="E160">
            <v>0</v>
          </cell>
          <cell r="F160">
            <v>16.91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17</v>
          </cell>
        </row>
        <row r="161">
          <cell r="B161">
            <v>3010062</v>
          </cell>
          <cell r="C161" t="str">
            <v>LCD Power Adapter Typ A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</row>
        <row r="162">
          <cell r="B162">
            <v>0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</row>
        <row r="163">
          <cell r="B163" t="str">
            <v>Optionen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</row>
        <row r="164">
          <cell r="B164">
            <v>0</v>
          </cell>
          <cell r="C164" t="str">
            <v>AESCU.certus²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</row>
        <row r="165">
          <cell r="B165">
            <v>0</v>
          </cell>
          <cell r="C165" t="str">
            <v>galvanisch getrennte RS-232 Schnittstellen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</row>
        <row r="166">
          <cell r="B166">
            <v>9827115</v>
          </cell>
          <cell r="C166" t="str">
            <v>RS232 Aufnahme für ES&amp;S</v>
          </cell>
          <cell r="D166">
            <v>0</v>
          </cell>
          <cell r="E166">
            <v>21</v>
          </cell>
          <cell r="F166">
            <v>21</v>
          </cell>
          <cell r="G166">
            <v>0</v>
          </cell>
          <cell r="H166">
            <v>0.25</v>
          </cell>
          <cell r="I166">
            <v>28</v>
          </cell>
          <cell r="J166">
            <v>0.25</v>
          </cell>
          <cell r="K166">
            <v>28</v>
          </cell>
        </row>
        <row r="167">
          <cell r="B167" t="str">
            <v>1000231M</v>
          </cell>
          <cell r="C167" t="str">
            <v>RS232 Isolator</v>
          </cell>
          <cell r="D167">
            <v>62</v>
          </cell>
          <cell r="E167">
            <v>67.900000000000006</v>
          </cell>
          <cell r="F167">
            <v>67.900000000000006</v>
          </cell>
          <cell r="G167">
            <v>0</v>
          </cell>
          <cell r="H167">
            <v>0.25</v>
          </cell>
          <cell r="I167">
            <v>91</v>
          </cell>
          <cell r="J167">
            <v>0.25</v>
          </cell>
          <cell r="K167">
            <v>91</v>
          </cell>
        </row>
        <row r="168">
          <cell r="B168" t="str">
            <v>7100026M</v>
          </cell>
          <cell r="C168" t="str">
            <v>Anschlusskabel PHR-2farbig für ES&amp;S RS232-Isolator</v>
          </cell>
          <cell r="D168">
            <v>1.41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</row>
        <row r="169">
          <cell r="B169" t="str">
            <v>7100070M</v>
          </cell>
          <cell r="C169" t="str">
            <v>ES&amp;S Datenkabel für ES&amp;S RS232-Isolator</v>
          </cell>
          <cell r="D169">
            <v>4.42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</row>
        <row r="170">
          <cell r="B170" t="str">
            <v>7000057M</v>
          </cell>
          <cell r="C170" t="str">
            <v>Aufkleber Galvanisch getrennt 10x8mm</v>
          </cell>
          <cell r="D170">
            <v>7.0000000000000007E-2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</row>
        <row r="171">
          <cell r="B171">
            <v>0</v>
          </cell>
          <cell r="C171">
            <v>0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</row>
        <row r="172">
          <cell r="B172">
            <v>0</v>
          </cell>
          <cell r="C172">
            <v>0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</row>
        <row r="173">
          <cell r="B173">
            <v>0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</row>
        <row r="174">
          <cell r="B174">
            <v>0</v>
          </cell>
          <cell r="C174">
            <v>0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</row>
        <row r="175">
          <cell r="B175">
            <v>0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</row>
        <row r="176">
          <cell r="B176">
            <v>0</v>
          </cell>
          <cell r="C176" t="str">
            <v>nicht getrennte RS-232 Schnittstellen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</row>
        <row r="177">
          <cell r="B177" t="str">
            <v>7100033M</v>
          </cell>
          <cell r="C177" t="str">
            <v>Kabel RS232 intern für DFI HR100-CRM</v>
          </cell>
          <cell r="D177">
            <v>0</v>
          </cell>
          <cell r="E177">
            <v>2.2999999999999998</v>
          </cell>
          <cell r="F177">
            <v>2.2999999999999998</v>
          </cell>
          <cell r="G177">
            <v>0</v>
          </cell>
          <cell r="H177">
            <v>0.5</v>
          </cell>
          <cell r="I177">
            <v>5</v>
          </cell>
          <cell r="J177">
            <v>0.5</v>
          </cell>
          <cell r="K177">
            <v>5</v>
          </cell>
        </row>
        <row r="178">
          <cell r="B178">
            <v>0</v>
          </cell>
          <cell r="C178" t="e">
            <v>#N/A</v>
          </cell>
          <cell r="D178">
            <v>0</v>
          </cell>
          <cell r="E178">
            <v>0</v>
          </cell>
          <cell r="F178" t="e">
            <v>#N/A</v>
          </cell>
          <cell r="G178" t="e">
            <v>#N/A</v>
          </cell>
          <cell r="H178">
            <v>0</v>
          </cell>
          <cell r="I178">
            <v>0</v>
          </cell>
          <cell r="J178">
            <v>0</v>
          </cell>
          <cell r="K178" t="e">
            <v>#N/A</v>
          </cell>
        </row>
        <row r="179">
          <cell r="B179">
            <v>0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</row>
        <row r="180">
          <cell r="B180">
            <v>0</v>
          </cell>
          <cell r="C180" t="str">
            <v>weitere Optionen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</row>
        <row r="181">
          <cell r="B181">
            <v>5609995</v>
          </cell>
          <cell r="C181" t="str">
            <v>Netzwerk-Isolator MI1005 10/100/1000 TP</v>
          </cell>
          <cell r="D181">
            <v>0</v>
          </cell>
          <cell r="E181">
            <v>89</v>
          </cell>
          <cell r="F181">
            <v>89</v>
          </cell>
          <cell r="G181">
            <v>0</v>
          </cell>
          <cell r="H181">
            <v>0.15</v>
          </cell>
          <cell r="I181">
            <v>105</v>
          </cell>
          <cell r="J181">
            <v>0.15</v>
          </cell>
          <cell r="K181">
            <v>105</v>
          </cell>
        </row>
        <row r="182">
          <cell r="B182">
            <v>9827079</v>
          </cell>
          <cell r="C182" t="str">
            <v>AESCU.certus USB Buchse IP54</v>
          </cell>
          <cell r="D182">
            <v>0</v>
          </cell>
          <cell r="E182">
            <v>29.64</v>
          </cell>
          <cell r="F182">
            <v>29.64</v>
          </cell>
          <cell r="G182">
            <v>0</v>
          </cell>
          <cell r="H182">
            <v>0.25</v>
          </cell>
          <cell r="I182">
            <v>40</v>
          </cell>
          <cell r="J182">
            <v>0.25</v>
          </cell>
          <cell r="K182">
            <v>40</v>
          </cell>
        </row>
        <row r="183">
          <cell r="B183">
            <v>2103006</v>
          </cell>
          <cell r="C183" t="str">
            <v>Kabel Kontron USB-Kabel Einbau</v>
          </cell>
          <cell r="D183">
            <v>0</v>
          </cell>
          <cell r="E183">
            <v>1.74</v>
          </cell>
          <cell r="F183">
            <v>1.74</v>
          </cell>
          <cell r="G183">
            <v>0</v>
          </cell>
          <cell r="H183">
            <v>0.6</v>
          </cell>
          <cell r="I183">
            <v>5</v>
          </cell>
          <cell r="J183">
            <v>0.6</v>
          </cell>
          <cell r="K183">
            <v>5</v>
          </cell>
        </row>
        <row r="184">
          <cell r="B184">
            <v>9827087</v>
          </cell>
          <cell r="C184" t="str">
            <v>AESCU.certus IP65 Abdeckung</v>
          </cell>
          <cell r="D184">
            <v>0</v>
          </cell>
          <cell r="E184">
            <v>66.599999999999994</v>
          </cell>
          <cell r="F184">
            <v>66.599999999999994</v>
          </cell>
          <cell r="G184">
            <v>0</v>
          </cell>
          <cell r="H184">
            <v>0.25</v>
          </cell>
          <cell r="I184">
            <v>89</v>
          </cell>
          <cell r="J184">
            <v>0.25</v>
          </cell>
          <cell r="K184">
            <v>89</v>
          </cell>
        </row>
        <row r="185">
          <cell r="B185">
            <v>9827088</v>
          </cell>
          <cell r="C185" t="str">
            <v>AESCU.certus IP65 Abdeckung Rückseite modifiziert</v>
          </cell>
          <cell r="D185">
            <v>0</v>
          </cell>
          <cell r="E185">
            <v>70.55</v>
          </cell>
          <cell r="F185">
            <v>70.55</v>
          </cell>
          <cell r="G185">
            <v>0</v>
          </cell>
          <cell r="H185">
            <v>0.25</v>
          </cell>
          <cell r="I185">
            <v>95</v>
          </cell>
          <cell r="J185">
            <v>0.25</v>
          </cell>
          <cell r="K185">
            <v>95</v>
          </cell>
        </row>
        <row r="186">
          <cell r="B186">
            <v>0</v>
          </cell>
          <cell r="C186" t="e">
            <v>#N/A</v>
          </cell>
          <cell r="D186">
            <v>0</v>
          </cell>
          <cell r="E186">
            <v>0</v>
          </cell>
          <cell r="F186" t="e">
            <v>#N/A</v>
          </cell>
          <cell r="G186" t="e">
            <v>#N/A</v>
          </cell>
          <cell r="H186">
            <v>0</v>
          </cell>
          <cell r="I186">
            <v>0</v>
          </cell>
          <cell r="J186">
            <v>0</v>
          </cell>
          <cell r="K186" t="e">
            <v>#N/A</v>
          </cell>
        </row>
        <row r="187">
          <cell r="B187">
            <v>0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</row>
        <row r="188">
          <cell r="B188">
            <v>0</v>
          </cell>
          <cell r="C188" t="str">
            <v>PANA.ceia²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</row>
        <row r="189">
          <cell r="B189">
            <v>0</v>
          </cell>
          <cell r="C189" t="str">
            <v>seitliche USB 3.0 Schnittstelle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</row>
        <row r="190">
          <cell r="B190" t="str">
            <v>7100039M</v>
          </cell>
          <cell r="C190" t="str">
            <v>Kabel USB3.0 intern</v>
          </cell>
          <cell r="D190">
            <v>12.6</v>
          </cell>
          <cell r="E190">
            <v>12.71</v>
          </cell>
          <cell r="F190">
            <v>12.71</v>
          </cell>
          <cell r="G190">
            <v>0</v>
          </cell>
          <cell r="H190">
            <v>0.35</v>
          </cell>
          <cell r="I190">
            <v>20</v>
          </cell>
          <cell r="J190">
            <v>0.35</v>
          </cell>
          <cell r="K190">
            <v>20</v>
          </cell>
        </row>
        <row r="191">
          <cell r="B191">
            <v>9824520</v>
          </cell>
          <cell r="C191" t="str">
            <v>Gehäuse AC1+2 Sicherungsmutter verz. M3</v>
          </cell>
          <cell r="D191">
            <v>0.01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</row>
        <row r="192">
          <cell r="B192">
            <v>9824547</v>
          </cell>
          <cell r="C192" t="str">
            <v>Gehäuse AC1 Unterlegscheibe Polyamid 03.03.036</v>
          </cell>
          <cell r="D192">
            <v>0.1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</row>
        <row r="193">
          <cell r="B193">
            <v>0</v>
          </cell>
          <cell r="C193" t="e">
            <v>#N/A</v>
          </cell>
          <cell r="D193">
            <v>0</v>
          </cell>
          <cell r="E193">
            <v>0</v>
          </cell>
          <cell r="F193" t="e">
            <v>#N/A</v>
          </cell>
          <cell r="G193" t="e">
            <v>#N/A</v>
          </cell>
          <cell r="H193">
            <v>0</v>
          </cell>
          <cell r="I193">
            <v>0</v>
          </cell>
          <cell r="J193">
            <v>0</v>
          </cell>
          <cell r="K193" t="e">
            <v>#N/A</v>
          </cell>
        </row>
        <row r="194">
          <cell r="B194">
            <v>0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</row>
        <row r="195">
          <cell r="B195" t="str">
            <v>Garantie und Service</v>
          </cell>
          <cell r="C195">
            <v>0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</row>
        <row r="196">
          <cell r="B196">
            <v>136</v>
          </cell>
          <cell r="C196" t="str">
            <v>Bring In Garantie 36 Monate (36 month warranty)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</row>
        <row r="197">
          <cell r="B197">
            <v>148</v>
          </cell>
          <cell r="C197" t="str">
            <v>Garantieerweiterung auf 48 Monate (48 month warranty)</v>
          </cell>
          <cell r="D197" t="str">
            <v>Wert abhängig von Systempreis)</v>
          </cell>
          <cell r="E197">
            <v>0</v>
          </cell>
          <cell r="F197">
            <v>0</v>
          </cell>
          <cell r="G197">
            <v>0</v>
          </cell>
          <cell r="H197">
            <v>0.05</v>
          </cell>
          <cell r="I197">
            <v>0</v>
          </cell>
          <cell r="J197">
            <v>0.05</v>
          </cell>
          <cell r="K197">
            <v>0</v>
          </cell>
        </row>
        <row r="198">
          <cell r="B198">
            <v>160</v>
          </cell>
          <cell r="C198" t="str">
            <v>Garantieerweiterung auf 60 Monate (60 month warranty)</v>
          </cell>
          <cell r="D198" t="str">
            <v>Wert abhängig von Systempreis)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0.15</v>
          </cell>
          <cell r="K198">
            <v>0</v>
          </cell>
        </row>
        <row r="199">
          <cell r="B199" t="str">
            <v>PS36</v>
          </cell>
          <cell r="C199" t="str">
            <v>Pickup-Service  36 Monate (month)</v>
          </cell>
          <cell r="D199" t="str">
            <v>Pauschale</v>
          </cell>
          <cell r="E199">
            <v>25</v>
          </cell>
          <cell r="F199">
            <v>25</v>
          </cell>
          <cell r="G199">
            <v>0</v>
          </cell>
          <cell r="H199">
            <v>0</v>
          </cell>
          <cell r="I199">
            <v>25</v>
          </cell>
          <cell r="J199">
            <v>0.02</v>
          </cell>
          <cell r="K199">
            <v>0</v>
          </cell>
        </row>
        <row r="200">
          <cell r="B200" t="str">
            <v>PS48</v>
          </cell>
          <cell r="C200" t="str">
            <v>Pickup-Service 48 Monate (month)</v>
          </cell>
          <cell r="D200" t="str">
            <v>Pauschale</v>
          </cell>
          <cell r="E200">
            <v>45</v>
          </cell>
          <cell r="F200">
            <v>45</v>
          </cell>
          <cell r="G200">
            <v>0</v>
          </cell>
          <cell r="H200">
            <v>0</v>
          </cell>
          <cell r="I200">
            <v>45</v>
          </cell>
          <cell r="J200">
            <v>0.09</v>
          </cell>
          <cell r="K200">
            <v>0</v>
          </cell>
        </row>
        <row r="201">
          <cell r="B201" t="str">
            <v>PS60</v>
          </cell>
          <cell r="C201" t="str">
            <v>Pickup-Service 60 Monate (month)</v>
          </cell>
          <cell r="D201" t="str">
            <v>Pauschale</v>
          </cell>
          <cell r="E201">
            <v>0</v>
          </cell>
          <cell r="F201">
            <v>0</v>
          </cell>
          <cell r="G201">
            <v>0</v>
          </cell>
          <cell r="H201">
            <v>0.22</v>
          </cell>
          <cell r="I201">
            <v>0</v>
          </cell>
          <cell r="J201">
            <v>0.21</v>
          </cell>
          <cell r="K201">
            <v>0</v>
          </cell>
        </row>
        <row r="202">
          <cell r="B202" t="str">
            <v>PPSS36</v>
          </cell>
          <cell r="C202" t="str">
            <v>Premium Pickup-Spare-Service 36 Monate (month)</v>
          </cell>
          <cell r="D202" t="str">
            <v>Wert abhängig von Systempreis)</v>
          </cell>
          <cell r="E202">
            <v>0</v>
          </cell>
          <cell r="F202">
            <v>0</v>
          </cell>
          <cell r="G202">
            <v>0</v>
          </cell>
          <cell r="H202">
            <v>0.22</v>
          </cell>
          <cell r="I202">
            <v>0</v>
          </cell>
          <cell r="J202">
            <v>0.215</v>
          </cell>
          <cell r="K202">
            <v>0</v>
          </cell>
        </row>
        <row r="203">
          <cell r="B203" t="str">
            <v>PPSS48</v>
          </cell>
          <cell r="C203" t="str">
            <v>Premium Pickup-Spare-Service 48 Monate (month)</v>
          </cell>
          <cell r="D203" t="str">
            <v>Wert abhängig von Systempreis)</v>
          </cell>
          <cell r="E203">
            <v>0</v>
          </cell>
          <cell r="F203">
            <v>0</v>
          </cell>
          <cell r="G203">
            <v>0</v>
          </cell>
          <cell r="H203">
            <v>0.45</v>
          </cell>
          <cell r="I203">
            <v>0</v>
          </cell>
          <cell r="J203">
            <v>0.45</v>
          </cell>
          <cell r="K203">
            <v>0</v>
          </cell>
        </row>
        <row r="204">
          <cell r="B204">
            <v>0</v>
          </cell>
          <cell r="C204" t="e">
            <v>#N/A</v>
          </cell>
          <cell r="D204">
            <v>0</v>
          </cell>
          <cell r="E204">
            <v>0</v>
          </cell>
          <cell r="F204" t="e">
            <v>#N/A</v>
          </cell>
          <cell r="G204" t="e">
            <v>#N/A</v>
          </cell>
          <cell r="H204">
            <v>0</v>
          </cell>
          <cell r="I204">
            <v>0</v>
          </cell>
          <cell r="J204">
            <v>0</v>
          </cell>
          <cell r="K204" t="e">
            <v>#N/A</v>
          </cell>
        </row>
        <row r="205">
          <cell r="B205">
            <v>0</v>
          </cell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</row>
        <row r="206">
          <cell r="B206">
            <v>0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</row>
        <row r="207">
          <cell r="B207">
            <v>0</v>
          </cell>
          <cell r="C207">
            <v>0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</row>
        <row r="208">
          <cell r="B208">
            <v>0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</row>
        <row r="209">
          <cell r="B209">
            <v>0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</row>
        <row r="210">
          <cell r="B210">
            <v>0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</row>
        <row r="211">
          <cell r="B211" t="str">
            <v>Tastaturen/Mäuse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</row>
        <row r="212">
          <cell r="B212">
            <v>2810029</v>
          </cell>
          <cell r="C212" t="str">
            <v>Cherry  G83 PS/2 deutsch</v>
          </cell>
          <cell r="D212">
            <v>0</v>
          </cell>
          <cell r="E212">
            <v>11.5</v>
          </cell>
          <cell r="F212">
            <v>11.5</v>
          </cell>
          <cell r="G212">
            <v>0</v>
          </cell>
          <cell r="H212">
            <v>0.18</v>
          </cell>
          <cell r="I212">
            <v>15</v>
          </cell>
          <cell r="J212">
            <v>0.18</v>
          </cell>
          <cell r="K212">
            <v>15</v>
          </cell>
        </row>
        <row r="213">
          <cell r="B213">
            <v>2920378</v>
          </cell>
          <cell r="C213" t="str">
            <v>Tastatur Logitech Desktop MK330 Wireless, schwarz</v>
          </cell>
          <cell r="D213">
            <v>0</v>
          </cell>
          <cell r="E213">
            <v>24.5</v>
          </cell>
          <cell r="F213">
            <v>24.5</v>
          </cell>
          <cell r="G213">
            <v>0</v>
          </cell>
          <cell r="H213">
            <v>0.18</v>
          </cell>
          <cell r="I213">
            <v>30</v>
          </cell>
          <cell r="J213">
            <v>0.18</v>
          </cell>
          <cell r="K213">
            <v>30</v>
          </cell>
        </row>
        <row r="214">
          <cell r="B214" t="str">
            <v>5100011M</v>
          </cell>
          <cell r="C214" t="str">
            <v>Really Cool, IP geschützte Tastatur, grau</v>
          </cell>
          <cell r="D214">
            <v>0</v>
          </cell>
          <cell r="E214">
            <v>118.59</v>
          </cell>
          <cell r="F214">
            <v>118.59</v>
          </cell>
          <cell r="G214">
            <v>0</v>
          </cell>
          <cell r="H214">
            <v>0.18</v>
          </cell>
          <cell r="I214">
            <v>145</v>
          </cell>
          <cell r="J214">
            <v>0.18</v>
          </cell>
          <cell r="K214">
            <v>145</v>
          </cell>
        </row>
        <row r="215">
          <cell r="B215" t="str">
            <v>5100050M</v>
          </cell>
          <cell r="C215" t="str">
            <v>Really Cool LP, IP geschtütze Tastatur grau</v>
          </cell>
          <cell r="D215">
            <v>0</v>
          </cell>
          <cell r="E215">
            <v>118.59</v>
          </cell>
          <cell r="F215">
            <v>118.59</v>
          </cell>
          <cell r="G215">
            <v>0</v>
          </cell>
          <cell r="H215">
            <v>0.18</v>
          </cell>
          <cell r="I215">
            <v>145</v>
          </cell>
          <cell r="J215">
            <v>0.18</v>
          </cell>
          <cell r="K215">
            <v>145</v>
          </cell>
        </row>
        <row r="216">
          <cell r="B216" t="str">
            <v>5100079M</v>
          </cell>
          <cell r="C216" t="str">
            <v>Really Cool LP, IP geschütze Tastatur grau</v>
          </cell>
          <cell r="D216">
            <v>0</v>
          </cell>
          <cell r="E216">
            <v>118.59</v>
          </cell>
          <cell r="F216">
            <v>118.59</v>
          </cell>
          <cell r="G216">
            <v>0</v>
          </cell>
          <cell r="H216">
            <v>0.18</v>
          </cell>
          <cell r="I216">
            <v>145</v>
          </cell>
          <cell r="J216">
            <v>0.18</v>
          </cell>
          <cell r="K216">
            <v>145</v>
          </cell>
        </row>
        <row r="217">
          <cell r="B217" t="str">
            <v>5100046M</v>
          </cell>
          <cell r="C217" t="str">
            <v>Really Cool TP, IP geschütze Tastatur grau</v>
          </cell>
          <cell r="D217">
            <v>0</v>
          </cell>
          <cell r="E217">
            <v>164.82</v>
          </cell>
          <cell r="F217">
            <v>164.82</v>
          </cell>
          <cell r="G217">
            <v>0</v>
          </cell>
          <cell r="H217">
            <v>0.18</v>
          </cell>
          <cell r="I217">
            <v>201</v>
          </cell>
          <cell r="J217">
            <v>0.18</v>
          </cell>
          <cell r="K217">
            <v>201</v>
          </cell>
        </row>
        <row r="218">
          <cell r="B218" t="str">
            <v>5100025M</v>
          </cell>
          <cell r="C218" t="str">
            <v>Really Cool, IP geschützte Tastatur, grau, PS2</v>
          </cell>
          <cell r="D218">
            <v>0</v>
          </cell>
          <cell r="E218">
            <v>125.96</v>
          </cell>
          <cell r="F218">
            <v>125.96</v>
          </cell>
          <cell r="G218">
            <v>0</v>
          </cell>
          <cell r="H218">
            <v>0.18</v>
          </cell>
          <cell r="I218">
            <v>154</v>
          </cell>
          <cell r="J218">
            <v>0.18</v>
          </cell>
          <cell r="K218">
            <v>154</v>
          </cell>
        </row>
        <row r="219">
          <cell r="B219" t="str">
            <v>5100023M</v>
          </cell>
          <cell r="C219" t="str">
            <v>Really Cool, IP geschützte Tastatur, grau, BL</v>
          </cell>
          <cell r="D219">
            <v>0</v>
          </cell>
          <cell r="E219">
            <v>155.44</v>
          </cell>
          <cell r="F219">
            <v>155.44</v>
          </cell>
          <cell r="G219">
            <v>0</v>
          </cell>
          <cell r="H219">
            <v>0.18</v>
          </cell>
          <cell r="I219">
            <v>190</v>
          </cell>
          <cell r="J219">
            <v>0.18</v>
          </cell>
          <cell r="K219">
            <v>190</v>
          </cell>
        </row>
        <row r="220">
          <cell r="B220" t="str">
            <v>5100077M</v>
          </cell>
          <cell r="C220" t="str">
            <v>Really Cool, IP geschützte Tastatur, grau, MAG</v>
          </cell>
          <cell r="D220">
            <v>0</v>
          </cell>
          <cell r="E220">
            <v>133.33000000000001</v>
          </cell>
          <cell r="F220">
            <v>133.33000000000001</v>
          </cell>
          <cell r="G220">
            <v>0</v>
          </cell>
          <cell r="H220">
            <v>0.18</v>
          </cell>
          <cell r="I220">
            <v>163</v>
          </cell>
          <cell r="J220">
            <v>0.18</v>
          </cell>
          <cell r="K220">
            <v>163</v>
          </cell>
        </row>
        <row r="221">
          <cell r="B221" t="str">
            <v>5100075M</v>
          </cell>
          <cell r="C221" t="str">
            <v>Really Cool, IP geschützte Tastatur, grau, BL, MAG</v>
          </cell>
          <cell r="D221">
            <v>0</v>
          </cell>
          <cell r="E221">
            <v>170.18</v>
          </cell>
          <cell r="F221">
            <v>170.18</v>
          </cell>
          <cell r="G221">
            <v>0</v>
          </cell>
          <cell r="H221">
            <v>0.18</v>
          </cell>
          <cell r="I221">
            <v>208</v>
          </cell>
          <cell r="J221">
            <v>0.18</v>
          </cell>
          <cell r="K221">
            <v>208</v>
          </cell>
        </row>
        <row r="222">
          <cell r="B222" t="str">
            <v>5100033M</v>
          </cell>
          <cell r="C222" t="str">
            <v>Really Cool, IP geschütze Tastatur, schwarz</v>
          </cell>
          <cell r="D222">
            <v>0</v>
          </cell>
          <cell r="E222">
            <v>118.59</v>
          </cell>
          <cell r="F222">
            <v>118.59</v>
          </cell>
          <cell r="G222">
            <v>0</v>
          </cell>
          <cell r="H222">
            <v>0.18</v>
          </cell>
          <cell r="I222">
            <v>145</v>
          </cell>
          <cell r="J222">
            <v>0.18</v>
          </cell>
          <cell r="K222">
            <v>145</v>
          </cell>
        </row>
        <row r="223">
          <cell r="B223" t="str">
            <v>5100087M</v>
          </cell>
          <cell r="C223" t="str">
            <v>Really Cool, IP geschützte Tastatur, schwarz BE</v>
          </cell>
          <cell r="D223">
            <v>0</v>
          </cell>
          <cell r="E223">
            <v>118.59</v>
          </cell>
          <cell r="F223">
            <v>118.59</v>
          </cell>
          <cell r="G223">
            <v>0</v>
          </cell>
          <cell r="H223">
            <v>0.18</v>
          </cell>
          <cell r="I223">
            <v>145</v>
          </cell>
          <cell r="J223">
            <v>0.18</v>
          </cell>
          <cell r="K223">
            <v>145</v>
          </cell>
        </row>
        <row r="224">
          <cell r="B224" t="str">
            <v>5100078M</v>
          </cell>
          <cell r="C224" t="str">
            <v>Really Cool TP, IP geschützte Tastatur, grau, MAG</v>
          </cell>
          <cell r="D224">
            <v>0</v>
          </cell>
          <cell r="E224">
            <v>179.56</v>
          </cell>
          <cell r="F224">
            <v>179.56</v>
          </cell>
          <cell r="G224">
            <v>0</v>
          </cell>
          <cell r="H224">
            <v>0.18</v>
          </cell>
          <cell r="I224">
            <v>219</v>
          </cell>
          <cell r="J224">
            <v>0.18</v>
          </cell>
          <cell r="K224">
            <v>219</v>
          </cell>
        </row>
        <row r="225">
          <cell r="B225" t="str">
            <v>5100012M</v>
          </cell>
          <cell r="C225" t="str">
            <v>Slim Cool, IP geschützte Tastatur, grau</v>
          </cell>
          <cell r="D225">
            <v>0</v>
          </cell>
          <cell r="E225">
            <v>115.91</v>
          </cell>
          <cell r="F225">
            <v>115.91</v>
          </cell>
          <cell r="G225">
            <v>0</v>
          </cell>
          <cell r="H225">
            <v>0.18</v>
          </cell>
          <cell r="I225">
            <v>142</v>
          </cell>
          <cell r="J225">
            <v>0.18</v>
          </cell>
          <cell r="K225">
            <v>142</v>
          </cell>
        </row>
        <row r="226">
          <cell r="B226" t="str">
            <v>5100010M</v>
          </cell>
          <cell r="C226" t="str">
            <v>Mighty Mouse 5 - IP geschützte Maus, grau</v>
          </cell>
          <cell r="D226">
            <v>0</v>
          </cell>
          <cell r="E226">
            <v>58.96</v>
          </cell>
          <cell r="F226">
            <v>58.96</v>
          </cell>
          <cell r="G226">
            <v>0</v>
          </cell>
          <cell r="H226">
            <v>0.18</v>
          </cell>
          <cell r="I226">
            <v>72</v>
          </cell>
          <cell r="J226">
            <v>0.18</v>
          </cell>
          <cell r="K226">
            <v>72</v>
          </cell>
        </row>
        <row r="227">
          <cell r="B227" t="str">
            <v>5100017M</v>
          </cell>
          <cell r="C227" t="str">
            <v>Petite Mouse - IP geschütze Maus, grau</v>
          </cell>
          <cell r="D227">
            <v>0</v>
          </cell>
          <cell r="E227">
            <v>58.96</v>
          </cell>
          <cell r="F227">
            <v>58.96</v>
          </cell>
          <cell r="G227">
            <v>0</v>
          </cell>
          <cell r="H227">
            <v>0.18</v>
          </cell>
          <cell r="I227">
            <v>72</v>
          </cell>
          <cell r="J227">
            <v>0.18</v>
          </cell>
          <cell r="K227">
            <v>72</v>
          </cell>
        </row>
        <row r="228">
          <cell r="B228" t="str">
            <v>5100054M</v>
          </cell>
          <cell r="C228" t="str">
            <v>Mighty Mouse5, IP geschützte Maus, schwarz</v>
          </cell>
          <cell r="D228">
            <v>0</v>
          </cell>
          <cell r="E228">
            <v>58.96</v>
          </cell>
          <cell r="F228">
            <v>58.96</v>
          </cell>
          <cell r="G228">
            <v>0</v>
          </cell>
          <cell r="H228">
            <v>0.18</v>
          </cell>
          <cell r="I228">
            <v>72</v>
          </cell>
          <cell r="J228">
            <v>0.18</v>
          </cell>
          <cell r="K228">
            <v>72</v>
          </cell>
        </row>
        <row r="229">
          <cell r="B229" t="str">
            <v>5110001M</v>
          </cell>
          <cell r="C229" t="str">
            <v>Mousepad MCD desinfizierbar</v>
          </cell>
          <cell r="D229">
            <v>0</v>
          </cell>
          <cell r="E229">
            <v>2.86</v>
          </cell>
          <cell r="F229">
            <v>2.86</v>
          </cell>
          <cell r="G229">
            <v>0</v>
          </cell>
          <cell r="H229">
            <v>0.18</v>
          </cell>
          <cell r="I229">
            <v>4</v>
          </cell>
          <cell r="J229">
            <v>0.18</v>
          </cell>
          <cell r="K229">
            <v>4</v>
          </cell>
        </row>
        <row r="230">
          <cell r="B230">
            <v>0</v>
          </cell>
          <cell r="C230" t="e">
            <v>#N/A</v>
          </cell>
          <cell r="D230">
            <v>0</v>
          </cell>
          <cell r="E230">
            <v>0</v>
          </cell>
          <cell r="F230" t="e">
            <v>#N/A</v>
          </cell>
          <cell r="G230" t="e">
            <v>#N/A</v>
          </cell>
          <cell r="H230">
            <v>0</v>
          </cell>
          <cell r="I230">
            <v>0</v>
          </cell>
          <cell r="J230">
            <v>0</v>
          </cell>
          <cell r="K230" t="e">
            <v>#N/A</v>
          </cell>
        </row>
        <row r="231">
          <cell r="B231">
            <v>0</v>
          </cell>
          <cell r="C231">
            <v>0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</row>
        <row r="232">
          <cell r="B232" t="str">
            <v>Displays</v>
          </cell>
          <cell r="C232">
            <v>0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</row>
        <row r="233">
          <cell r="B233">
            <v>0</v>
          </cell>
          <cell r="C233" t="str">
            <v>Non-MCD Displays &amp; Options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</row>
        <row r="234">
          <cell r="B234" t="str">
            <v>5200154M</v>
          </cell>
          <cell r="C234" t="str">
            <v>Display 19" TFT-LCD 1280x1024, VESA75</v>
          </cell>
          <cell r="D234">
            <v>0</v>
          </cell>
          <cell r="E234">
            <v>230</v>
          </cell>
          <cell r="F234">
            <v>230</v>
          </cell>
          <cell r="G234">
            <v>0</v>
          </cell>
          <cell r="H234">
            <v>0.15</v>
          </cell>
          <cell r="I234">
            <v>271</v>
          </cell>
          <cell r="J234">
            <v>0.15</v>
          </cell>
          <cell r="K234">
            <v>271</v>
          </cell>
        </row>
        <row r="235">
          <cell r="B235">
            <v>3030117</v>
          </cell>
          <cell r="C235" t="str">
            <v>Neovo LCD X-19 BLACK</v>
          </cell>
          <cell r="D235">
            <v>0</v>
          </cell>
          <cell r="E235">
            <v>399</v>
          </cell>
          <cell r="F235">
            <v>399</v>
          </cell>
          <cell r="G235">
            <v>0</v>
          </cell>
          <cell r="H235">
            <v>0.18</v>
          </cell>
          <cell r="I235">
            <v>487</v>
          </cell>
          <cell r="J235">
            <v>0.18</v>
          </cell>
          <cell r="K235">
            <v>487</v>
          </cell>
        </row>
        <row r="236">
          <cell r="B236">
            <v>3030119</v>
          </cell>
          <cell r="C236" t="str">
            <v>Display Neovo LCD X-19 weiß RAL9003</v>
          </cell>
          <cell r="D236">
            <v>0</v>
          </cell>
          <cell r="E236">
            <v>375</v>
          </cell>
          <cell r="F236">
            <v>375</v>
          </cell>
          <cell r="G236">
            <v>0</v>
          </cell>
          <cell r="H236">
            <v>0.18</v>
          </cell>
          <cell r="I236">
            <v>458</v>
          </cell>
          <cell r="J236">
            <v>0.18</v>
          </cell>
          <cell r="K236">
            <v>458</v>
          </cell>
        </row>
        <row r="237">
          <cell r="B237">
            <v>3030149</v>
          </cell>
          <cell r="C237" t="str">
            <v>Neovo LCD/LED X-22 WHITE Glass</v>
          </cell>
          <cell r="D237">
            <v>0</v>
          </cell>
          <cell r="E237">
            <v>439</v>
          </cell>
          <cell r="F237">
            <v>440</v>
          </cell>
          <cell r="G237">
            <v>2.3E-3</v>
          </cell>
          <cell r="H237">
            <v>0.18</v>
          </cell>
          <cell r="I237">
            <v>536</v>
          </cell>
          <cell r="J237">
            <v>0.18</v>
          </cell>
          <cell r="K237">
            <v>537</v>
          </cell>
        </row>
        <row r="238">
          <cell r="B238">
            <v>3030151</v>
          </cell>
          <cell r="C238" t="str">
            <v>Neovo LCD/LED X-24 WHITE Glass</v>
          </cell>
          <cell r="D238">
            <v>0</v>
          </cell>
          <cell r="E238">
            <v>499</v>
          </cell>
          <cell r="F238">
            <v>499</v>
          </cell>
          <cell r="G238">
            <v>0</v>
          </cell>
          <cell r="H238">
            <v>0.18</v>
          </cell>
          <cell r="I238">
            <v>609</v>
          </cell>
          <cell r="J238">
            <v>0.18</v>
          </cell>
          <cell r="K238">
            <v>609</v>
          </cell>
        </row>
        <row r="239">
          <cell r="B239">
            <v>3031196</v>
          </cell>
          <cell r="C239" t="str">
            <v>Display 22" 2230W weiss</v>
          </cell>
          <cell r="D239">
            <v>0</v>
          </cell>
          <cell r="E239">
            <v>129</v>
          </cell>
          <cell r="F239">
            <v>129</v>
          </cell>
          <cell r="G239">
            <v>0</v>
          </cell>
          <cell r="H239">
            <v>0.15</v>
          </cell>
          <cell r="I239">
            <v>152</v>
          </cell>
          <cell r="J239">
            <v>0.15</v>
          </cell>
          <cell r="K239">
            <v>152</v>
          </cell>
        </row>
        <row r="240">
          <cell r="B240">
            <v>3031166</v>
          </cell>
          <cell r="C240" t="str">
            <v>TERRA LCD/LED 2260W GREENLINE PLUS piano black</v>
          </cell>
          <cell r="D240">
            <v>0</v>
          </cell>
          <cell r="E240">
            <v>119</v>
          </cell>
          <cell r="F240">
            <v>119</v>
          </cell>
          <cell r="G240">
            <v>0</v>
          </cell>
          <cell r="H240">
            <v>0.15</v>
          </cell>
          <cell r="I240">
            <v>140</v>
          </cell>
          <cell r="J240">
            <v>0.15</v>
          </cell>
          <cell r="K240">
            <v>140</v>
          </cell>
        </row>
        <row r="241">
          <cell r="B241">
            <v>3031182</v>
          </cell>
          <cell r="C241" t="str">
            <v>TERRA LCD/LED 2450W GREENLINE PLUS piano black</v>
          </cell>
          <cell r="D241">
            <v>0</v>
          </cell>
          <cell r="E241">
            <v>109</v>
          </cell>
          <cell r="F241">
            <v>109</v>
          </cell>
          <cell r="G241">
            <v>0</v>
          </cell>
          <cell r="H241">
            <v>0.15</v>
          </cell>
          <cell r="I241">
            <v>129</v>
          </cell>
          <cell r="J241">
            <v>0.15</v>
          </cell>
          <cell r="K241">
            <v>129</v>
          </cell>
        </row>
        <row r="242">
          <cell r="B242">
            <v>2090232</v>
          </cell>
          <cell r="C242" t="str">
            <v>Netzteil MPG Tischnetzteil 20W f.LCD/TFT/2.5V</v>
          </cell>
          <cell r="D242">
            <v>0</v>
          </cell>
          <cell r="E242">
            <v>15</v>
          </cell>
          <cell r="F242">
            <v>15</v>
          </cell>
          <cell r="G242">
            <v>0</v>
          </cell>
          <cell r="H242">
            <v>0.6</v>
          </cell>
          <cell r="I242">
            <v>38</v>
          </cell>
          <cell r="J242">
            <v>0.6</v>
          </cell>
          <cell r="K242">
            <v>38</v>
          </cell>
        </row>
        <row r="243">
          <cell r="B243" t="str">
            <v>5200162M</v>
          </cell>
          <cell r="C243" t="str">
            <v>Standfuß für 19" Monitor (VESA 75)</v>
          </cell>
          <cell r="D243">
            <v>0</v>
          </cell>
          <cell r="E243">
            <v>0</v>
          </cell>
          <cell r="F243">
            <v>22</v>
          </cell>
          <cell r="G243">
            <v>0</v>
          </cell>
          <cell r="H243">
            <v>0</v>
          </cell>
          <cell r="I243">
            <v>0</v>
          </cell>
          <cell r="J243">
            <v>0.25</v>
          </cell>
          <cell r="K243">
            <v>30</v>
          </cell>
        </row>
        <row r="244">
          <cell r="B244">
            <v>0</v>
          </cell>
          <cell r="C244" t="e">
            <v>#N/A</v>
          </cell>
          <cell r="D244">
            <v>0</v>
          </cell>
          <cell r="E244">
            <v>0</v>
          </cell>
          <cell r="F244" t="e">
            <v>#N/A</v>
          </cell>
          <cell r="G244" t="e">
            <v>#N/A</v>
          </cell>
          <cell r="H244">
            <v>0</v>
          </cell>
          <cell r="I244">
            <v>0</v>
          </cell>
          <cell r="J244">
            <v>0</v>
          </cell>
          <cell r="K244" t="e">
            <v>#N/A</v>
          </cell>
        </row>
        <row r="245">
          <cell r="B245">
            <v>0</v>
          </cell>
          <cell r="C245">
            <v>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</row>
        <row r="246">
          <cell r="B246">
            <v>0</v>
          </cell>
          <cell r="C246" t="str">
            <v>MCD Medical Line OMNI.view 21.5" Optionen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</row>
        <row r="247">
          <cell r="B247" t="str">
            <v>6300030M</v>
          </cell>
          <cell r="C247" t="str">
            <v>Externes medizinisches Netzteil MCD Medical Line</v>
          </cell>
          <cell r="D247">
            <v>0</v>
          </cell>
          <cell r="E247">
            <v>76.849999999999994</v>
          </cell>
          <cell r="F247">
            <v>76.849999999999994</v>
          </cell>
          <cell r="G247">
            <v>0</v>
          </cell>
          <cell r="H247">
            <v>0.15</v>
          </cell>
          <cell r="I247">
            <v>91</v>
          </cell>
          <cell r="J247">
            <v>0.15</v>
          </cell>
          <cell r="K247">
            <v>91</v>
          </cell>
        </row>
        <row r="248">
          <cell r="B248" t="str">
            <v>7100068M</v>
          </cell>
          <cell r="C248" t="str">
            <v>LCD Pwr. Adap. Kabel mit Binder Stecker 1,6M</v>
          </cell>
          <cell r="D248">
            <v>0</v>
          </cell>
          <cell r="E248">
            <v>20.6</v>
          </cell>
          <cell r="F248">
            <v>20.6</v>
          </cell>
          <cell r="G248">
            <v>0</v>
          </cell>
          <cell r="H248">
            <v>0.15</v>
          </cell>
          <cell r="I248">
            <v>25</v>
          </cell>
          <cell r="J248">
            <v>0.15</v>
          </cell>
          <cell r="K248">
            <v>25</v>
          </cell>
        </row>
        <row r="249">
          <cell r="B249" t="str">
            <v>5210059M</v>
          </cell>
          <cell r="C249" t="str">
            <v>Standfuß VESA75-100; 43cm bis 24"</v>
          </cell>
          <cell r="D249">
            <v>0</v>
          </cell>
          <cell r="E249">
            <v>0</v>
          </cell>
          <cell r="F249">
            <v>82</v>
          </cell>
          <cell r="G249">
            <v>0</v>
          </cell>
          <cell r="H249">
            <v>0</v>
          </cell>
          <cell r="I249">
            <v>0</v>
          </cell>
          <cell r="J249">
            <v>0.2</v>
          </cell>
          <cell r="K249">
            <v>103</v>
          </cell>
        </row>
        <row r="250">
          <cell r="B250">
            <v>0</v>
          </cell>
          <cell r="C250" t="e">
            <v>#N/A</v>
          </cell>
          <cell r="D250">
            <v>0</v>
          </cell>
          <cell r="E250">
            <v>0</v>
          </cell>
          <cell r="F250" t="e">
            <v>#N/A</v>
          </cell>
          <cell r="G250" t="e">
            <v>#N/A</v>
          </cell>
          <cell r="H250">
            <v>0</v>
          </cell>
          <cell r="I250" t="e">
            <v>#N/A</v>
          </cell>
          <cell r="J250">
            <v>0</v>
          </cell>
          <cell r="K250" t="e">
            <v>#N/A</v>
          </cell>
        </row>
        <row r="251">
          <cell r="B251">
            <v>0</v>
          </cell>
          <cell r="C251" t="e">
            <v>#N/A</v>
          </cell>
          <cell r="D251">
            <v>0</v>
          </cell>
          <cell r="E251">
            <v>0</v>
          </cell>
          <cell r="F251" t="e">
            <v>#N/A</v>
          </cell>
          <cell r="G251" t="e">
            <v>#N/A</v>
          </cell>
          <cell r="H251">
            <v>0</v>
          </cell>
          <cell r="I251" t="e">
            <v>#N/A</v>
          </cell>
          <cell r="J251">
            <v>0</v>
          </cell>
          <cell r="K251" t="e">
            <v>#N/A</v>
          </cell>
        </row>
        <row r="252">
          <cell r="B252">
            <v>0</v>
          </cell>
          <cell r="C252" t="e">
            <v>#N/A</v>
          </cell>
          <cell r="D252">
            <v>0</v>
          </cell>
          <cell r="E252">
            <v>0</v>
          </cell>
          <cell r="F252" t="e">
            <v>#N/A</v>
          </cell>
          <cell r="G252" t="e">
            <v>#N/A</v>
          </cell>
          <cell r="H252">
            <v>0</v>
          </cell>
          <cell r="I252" t="e">
            <v>#N/A</v>
          </cell>
          <cell r="J252">
            <v>0</v>
          </cell>
          <cell r="K252" t="e">
            <v>#N/A</v>
          </cell>
        </row>
        <row r="253">
          <cell r="B253">
            <v>0</v>
          </cell>
          <cell r="C253" t="e">
            <v>#N/A</v>
          </cell>
          <cell r="D253">
            <v>0</v>
          </cell>
          <cell r="E253">
            <v>0</v>
          </cell>
          <cell r="F253" t="e">
            <v>#N/A</v>
          </cell>
          <cell r="G253" t="e">
            <v>#N/A</v>
          </cell>
          <cell r="H253">
            <v>0</v>
          </cell>
          <cell r="I253" t="e">
            <v>#N/A</v>
          </cell>
          <cell r="J253">
            <v>0</v>
          </cell>
          <cell r="K253" t="e">
            <v>#N/A</v>
          </cell>
        </row>
        <row r="254">
          <cell r="B254">
            <v>0</v>
          </cell>
          <cell r="C254">
            <v>0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</row>
        <row r="255">
          <cell r="B255" t="str">
            <v>Zubehör Displays</v>
          </cell>
          <cell r="C255">
            <v>0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</row>
        <row r="256">
          <cell r="B256">
            <v>5910000</v>
          </cell>
          <cell r="C256" t="str">
            <v>Equip Monitorkabel Displayport auf DVI 2m black</v>
          </cell>
          <cell r="D256">
            <v>0</v>
          </cell>
          <cell r="E256">
            <v>6.5</v>
          </cell>
          <cell r="F256">
            <v>6.9</v>
          </cell>
          <cell r="G256">
            <v>5.8000000000000003E-2</v>
          </cell>
          <cell r="H256">
            <v>0.5</v>
          </cell>
          <cell r="I256">
            <v>13</v>
          </cell>
          <cell r="J256">
            <v>0.5</v>
          </cell>
          <cell r="K256">
            <v>14</v>
          </cell>
        </row>
        <row r="257">
          <cell r="B257">
            <v>0</v>
          </cell>
          <cell r="C257" t="e">
            <v>#N/A</v>
          </cell>
          <cell r="D257">
            <v>0</v>
          </cell>
          <cell r="E257">
            <v>0</v>
          </cell>
          <cell r="F257" t="e">
            <v>#N/A</v>
          </cell>
          <cell r="G257" t="e">
            <v>#N/A</v>
          </cell>
          <cell r="H257">
            <v>0</v>
          </cell>
          <cell r="I257">
            <v>0</v>
          </cell>
          <cell r="J257">
            <v>0</v>
          </cell>
          <cell r="K257" t="e">
            <v>#N/A</v>
          </cell>
        </row>
        <row r="258">
          <cell r="B258">
            <v>0</v>
          </cell>
          <cell r="C258">
            <v>0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</row>
        <row r="259">
          <cell r="D259">
            <v>0</v>
          </cell>
          <cell r="E259">
            <v>0</v>
          </cell>
        </row>
        <row r="260">
          <cell r="D260">
            <v>0</v>
          </cell>
        </row>
        <row r="261">
          <cell r="D261">
            <v>0</v>
          </cell>
        </row>
        <row r="262">
          <cell r="D262">
            <v>0</v>
          </cell>
        </row>
        <row r="263">
          <cell r="D263">
            <v>0</v>
          </cell>
        </row>
        <row r="264">
          <cell r="D264">
            <v>0</v>
          </cell>
        </row>
        <row r="265">
          <cell r="D265">
            <v>0</v>
          </cell>
        </row>
        <row r="266">
          <cell r="D266">
            <v>0</v>
          </cell>
        </row>
        <row r="267">
          <cell r="D267">
            <v>0</v>
          </cell>
        </row>
        <row r="268">
          <cell r="D268">
            <v>0</v>
          </cell>
        </row>
        <row r="269">
          <cell r="D269">
            <v>0</v>
          </cell>
        </row>
        <row r="270">
          <cell r="D270">
            <v>0</v>
          </cell>
        </row>
        <row r="271">
          <cell r="D271">
            <v>0</v>
          </cell>
        </row>
        <row r="272">
          <cell r="D272">
            <v>0</v>
          </cell>
        </row>
        <row r="273">
          <cell r="D273">
            <v>0</v>
          </cell>
        </row>
        <row r="274">
          <cell r="D274">
            <v>0</v>
          </cell>
        </row>
        <row r="275">
          <cell r="D275">
            <v>0</v>
          </cell>
        </row>
        <row r="276">
          <cell r="D276">
            <v>0</v>
          </cell>
        </row>
        <row r="277">
          <cell r="D277">
            <v>0</v>
          </cell>
        </row>
        <row r="278">
          <cell r="D278">
            <v>0</v>
          </cell>
        </row>
        <row r="279">
          <cell r="D279">
            <v>0</v>
          </cell>
        </row>
        <row r="280">
          <cell r="D280">
            <v>0</v>
          </cell>
        </row>
        <row r="281">
          <cell r="D281">
            <v>0</v>
          </cell>
        </row>
        <row r="282">
          <cell r="D282">
            <v>0</v>
          </cell>
        </row>
        <row r="283">
          <cell r="D283">
            <v>0</v>
          </cell>
        </row>
        <row r="284">
          <cell r="D284">
            <v>0</v>
          </cell>
        </row>
        <row r="285">
          <cell r="D285">
            <v>0</v>
          </cell>
        </row>
        <row r="286">
          <cell r="D286">
            <v>0</v>
          </cell>
        </row>
        <row r="287">
          <cell r="D287">
            <v>0</v>
          </cell>
        </row>
        <row r="288">
          <cell r="D288">
            <v>0</v>
          </cell>
        </row>
        <row r="289">
          <cell r="D289">
            <v>0</v>
          </cell>
        </row>
        <row r="290">
          <cell r="D290">
            <v>0</v>
          </cell>
        </row>
        <row r="291">
          <cell r="D291">
            <v>0</v>
          </cell>
        </row>
        <row r="292">
          <cell r="D292">
            <v>0</v>
          </cell>
        </row>
        <row r="293">
          <cell r="D293">
            <v>0</v>
          </cell>
        </row>
        <row r="294">
          <cell r="D294">
            <v>0</v>
          </cell>
        </row>
        <row r="295">
          <cell r="D295">
            <v>0</v>
          </cell>
        </row>
        <row r="296">
          <cell r="D296">
            <v>0</v>
          </cell>
        </row>
        <row r="297">
          <cell r="D297">
            <v>0</v>
          </cell>
        </row>
        <row r="298">
          <cell r="D298">
            <v>0</v>
          </cell>
        </row>
        <row r="299">
          <cell r="D299">
            <v>0</v>
          </cell>
        </row>
        <row r="300">
          <cell r="D300">
            <v>0</v>
          </cell>
        </row>
        <row r="301">
          <cell r="D301">
            <v>0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duktvarianten_ALT"/>
      <sheetName val="Übersicht"/>
      <sheetName val="TL³"/>
      <sheetName val="OV²"/>
      <sheetName val="AC³"/>
      <sheetName val="PC³"/>
      <sheetName val="AN"/>
      <sheetName val="OV1"/>
      <sheetName val="Sonstiges"/>
      <sheetName val="EBM00202"/>
      <sheetName val="EBM00241"/>
      <sheetName val="EBM00256"/>
      <sheetName val="EBM00239"/>
      <sheetName val="EBM00231"/>
      <sheetName val="EBM00255"/>
      <sheetName val="Artikel-Liste"/>
      <sheetName val="Konfigurations-Bedingungen"/>
      <sheetName val="TL³ RS232 Konfig-Übersicht"/>
      <sheetName val="AC³ RS232 Konfig-Übersich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1">
          <cell r="B1" t="str">
            <v>Produktname / product name:</v>
          </cell>
          <cell r="C1" t="str">
            <v>MCD Medical Line THA.leia³</v>
          </cell>
          <cell r="E1" t="str">
            <v>Rev. A</v>
          </cell>
        </row>
        <row r="2">
          <cell r="B2" t="str">
            <v>Artikel-Nr. / part no.:</v>
          </cell>
          <cell r="C2" t="str">
            <v>2000070M</v>
          </cell>
        </row>
        <row r="3">
          <cell r="B3" t="str">
            <v>Art.-Nr.</v>
          </cell>
          <cell r="C3" t="str">
            <v>Beschreibung</v>
          </cell>
          <cell r="D3" t="str">
            <v>Menge</v>
          </cell>
          <cell r="E3" t="str">
            <v>EK / Stück</v>
          </cell>
        </row>
        <row r="4">
          <cell r="C4" t="str">
            <v>Basismodell-Komponenten</v>
          </cell>
        </row>
        <row r="5">
          <cell r="B5" t="str">
            <v>3050031M</v>
          </cell>
          <cell r="C5" t="str">
            <v>Mainboard Fujitsu D3433-S2 Kabylake mini ITX</v>
          </cell>
          <cell r="D5">
            <v>1</v>
          </cell>
          <cell r="E5">
            <v>149</v>
          </cell>
        </row>
        <row r="6">
          <cell r="B6" t="str">
            <v>7300144M-1</v>
          </cell>
          <cell r="C6" t="str">
            <v>Heatpipe THA.leia Gen3 D=6mm, L=250mm</v>
          </cell>
          <cell r="D6">
            <v>3</v>
          </cell>
          <cell r="E6">
            <v>4</v>
          </cell>
        </row>
        <row r="7">
          <cell r="B7" t="str">
            <v>7200027M</v>
          </cell>
          <cell r="C7" t="str">
            <v>Verpackungsset 2.0 TL³/OV² 21.5", 24", 27"</v>
          </cell>
          <cell r="D7">
            <v>1</v>
          </cell>
          <cell r="E7">
            <v>12.6</v>
          </cell>
        </row>
        <row r="8">
          <cell r="B8" t="str">
            <v>7000056M</v>
          </cell>
          <cell r="C8" t="str">
            <v>Aufkleber Verpackung MCD</v>
          </cell>
          <cell r="D8">
            <v>2</v>
          </cell>
          <cell r="E8">
            <v>0.3579</v>
          </cell>
        </row>
        <row r="9">
          <cell r="B9" t="str">
            <v>7200019M-1</v>
          </cell>
          <cell r="C9" t="str">
            <v>Produktschutzhülle MCD TL³ /OV²</v>
          </cell>
          <cell r="D9">
            <v>1</v>
          </cell>
          <cell r="E9">
            <v>0.38</v>
          </cell>
        </row>
        <row r="10">
          <cell r="B10" t="str">
            <v>7100155M-1</v>
          </cell>
          <cell r="C10" t="str">
            <v>Kabelbaum MCD TL Gen3 12V für D3243-S</v>
          </cell>
          <cell r="D10">
            <v>1</v>
          </cell>
          <cell r="E10">
            <v>13.06</v>
          </cell>
        </row>
        <row r="11">
          <cell r="B11" t="str">
            <v>7100074M-1</v>
          </cell>
          <cell r="C11" t="str">
            <v>Kabel SATA gewinkelt, 30cm, gelb, intern, mit Clip</v>
          </cell>
          <cell r="D11">
            <v>1</v>
          </cell>
          <cell r="E11">
            <v>0.6</v>
          </cell>
        </row>
        <row r="12">
          <cell r="B12" t="str">
            <v>7000102M-1</v>
          </cell>
          <cell r="C12" t="str">
            <v>Rändelschraube TL / OV verzinkt 4x8mm</v>
          </cell>
          <cell r="D12">
            <v>4</v>
          </cell>
          <cell r="E12">
            <v>0.31900000000000001</v>
          </cell>
        </row>
        <row r="13">
          <cell r="B13" t="str">
            <v>7000101M-1</v>
          </cell>
          <cell r="C13" t="str">
            <v>USB A-Buchsen-Verschluss-Kappe mit Griff, weiß</v>
          </cell>
          <cell r="D13">
            <v>1</v>
          </cell>
          <cell r="E13">
            <v>0.25</v>
          </cell>
        </row>
        <row r="14">
          <cell r="B14" t="str">
            <v>7000007M</v>
          </cell>
          <cell r="C14" t="str">
            <v>Kabelbinder Schwarz 2.6x135mm</v>
          </cell>
          <cell r="D14">
            <v>3</v>
          </cell>
          <cell r="E14">
            <v>0.02</v>
          </cell>
        </row>
        <row r="15">
          <cell r="B15" t="str">
            <v>7000108M</v>
          </cell>
          <cell r="C15" t="str">
            <v>M3x6 Linsenkopfschraube Torx - T10</v>
          </cell>
          <cell r="D15">
            <v>14</v>
          </cell>
          <cell r="E15">
            <v>0</v>
          </cell>
        </row>
        <row r="16">
          <cell r="B16">
            <v>9824535</v>
          </cell>
          <cell r="C16" t="str">
            <v>Gehäuse AC1+2 Senkkopfschraube schw. Verz. M3x10</v>
          </cell>
          <cell r="D16">
            <v>2</v>
          </cell>
          <cell r="E16">
            <v>0.01</v>
          </cell>
        </row>
        <row r="17">
          <cell r="B17" t="str">
            <v>7000111M</v>
          </cell>
          <cell r="C17" t="str">
            <v>M6x30 Sechskantschraube V2A</v>
          </cell>
          <cell r="D17">
            <v>1</v>
          </cell>
          <cell r="E17">
            <v>0</v>
          </cell>
        </row>
        <row r="18">
          <cell r="B18" t="str">
            <v>7000110M</v>
          </cell>
          <cell r="C18" t="str">
            <v>M6 Sechskantmutter V2A</v>
          </cell>
          <cell r="D18">
            <v>1</v>
          </cell>
          <cell r="E18">
            <v>0</v>
          </cell>
        </row>
        <row r="19">
          <cell r="B19" t="str">
            <v>7000109M</v>
          </cell>
          <cell r="C19" t="str">
            <v>6,4mm Zahnscheibe V2A</v>
          </cell>
          <cell r="D19">
            <v>4</v>
          </cell>
          <cell r="E19">
            <v>0</v>
          </cell>
        </row>
        <row r="20">
          <cell r="B20" t="str">
            <v>7000117M-1</v>
          </cell>
          <cell r="C20" t="str">
            <v>M3x12 Zylinderschraube verzinkt</v>
          </cell>
          <cell r="D20">
            <v>7</v>
          </cell>
          <cell r="E20">
            <v>0</v>
          </cell>
        </row>
        <row r="21">
          <cell r="B21" t="str">
            <v>7000107M</v>
          </cell>
          <cell r="C21" t="str">
            <v>M2.5x4 Linsenkopfschraube Kreuz verzinkt</v>
          </cell>
          <cell r="D21">
            <v>4</v>
          </cell>
          <cell r="E21">
            <v>0</v>
          </cell>
        </row>
        <row r="22">
          <cell r="B22" t="str">
            <v>7000115M</v>
          </cell>
          <cell r="C22" t="str">
            <v>2,7mm Unterlegscheibe verzinkt</v>
          </cell>
          <cell r="D22">
            <v>4</v>
          </cell>
          <cell r="E22">
            <v>0</v>
          </cell>
        </row>
        <row r="23">
          <cell r="B23" t="str">
            <v>7000114M</v>
          </cell>
          <cell r="C23" t="str">
            <v>2,5mm Isolier-Distanzhülsen schwarz</v>
          </cell>
          <cell r="D23">
            <v>4</v>
          </cell>
          <cell r="E23">
            <v>0</v>
          </cell>
        </row>
        <row r="24">
          <cell r="B24" t="str">
            <v>7000106M</v>
          </cell>
          <cell r="C24" t="str">
            <v>M4x10 Zylinderschraube Innensechskant</v>
          </cell>
          <cell r="D24">
            <v>3</v>
          </cell>
          <cell r="E24">
            <v>0</v>
          </cell>
        </row>
        <row r="25">
          <cell r="B25" t="str">
            <v>6500066M_B</v>
          </cell>
          <cell r="C25" t="str">
            <v>Handbuch MCD Medical Line THA.leia³ DE/EN</v>
          </cell>
          <cell r="D25">
            <v>1</v>
          </cell>
          <cell r="E25">
            <v>2.5</v>
          </cell>
        </row>
        <row r="26">
          <cell r="B26" t="str">
            <v>8110070M</v>
          </cell>
          <cell r="C26" t="str">
            <v>Baukosten</v>
          </cell>
          <cell r="D26">
            <v>1</v>
          </cell>
          <cell r="E26">
            <v>70</v>
          </cell>
        </row>
        <row r="27">
          <cell r="C27" t="str">
            <v>Herstelldokumente und Beschilderungsblätter</v>
          </cell>
        </row>
        <row r="28">
          <cell r="B28" t="str">
            <v>PMI00191_B</v>
          </cell>
          <cell r="C28" t="str">
            <v>Herstellanweisung MCD Medical Line TL³</v>
          </cell>
          <cell r="D28" t="str">
            <v>---</v>
          </cell>
        </row>
        <row r="29">
          <cell r="B29" t="str">
            <v>PTI00208_B</v>
          </cell>
          <cell r="C29" t="str">
            <v>Prüfanweisung MCD Medical Line TL³</v>
          </cell>
          <cell r="D29" t="str">
            <v>---</v>
          </cell>
        </row>
        <row r="30">
          <cell r="B30" t="str">
            <v>PPI00205_B</v>
          </cell>
          <cell r="C30" t="str">
            <v>Verpackungsanweisung THA.leia³</v>
          </cell>
          <cell r="D30" t="str">
            <v>---</v>
          </cell>
        </row>
        <row r="31">
          <cell r="B31" t="str">
            <v>PTR00302_A</v>
          </cell>
          <cell r="C31" t="str">
            <v>DHR MCD THA.leia³</v>
          </cell>
          <cell r="D31">
            <v>1</v>
          </cell>
        </row>
        <row r="32">
          <cell r="B32" t="str">
            <v>BB17-0022_A</v>
          </cell>
          <cell r="C32" t="str">
            <v>Ratinglabel MCD THA.leia³</v>
          </cell>
          <cell r="D32">
            <v>2</v>
          </cell>
        </row>
        <row r="33">
          <cell r="B33" t="str">
            <v>BB16-0001_A</v>
          </cell>
          <cell r="C33" t="str">
            <v>Lager- / Transportlabel MCD TL³ / OV²</v>
          </cell>
          <cell r="D33">
            <v>1</v>
          </cell>
        </row>
        <row r="35">
          <cell r="C35" t="str">
            <v>BTO</v>
          </cell>
        </row>
        <row r="36">
          <cell r="C36" t="str">
            <v>Baugruppen</v>
          </cell>
        </row>
        <row r="37">
          <cell r="B37" t="str">
            <v>2990005M_B</v>
          </cell>
          <cell r="C37" t="str">
            <v>Baugruppe MCD THA.leia³ 21.5"</v>
          </cell>
          <cell r="D37">
            <v>1</v>
          </cell>
          <cell r="E37">
            <v>799.23</v>
          </cell>
        </row>
        <row r="38">
          <cell r="B38" t="str">
            <v>2990006M_B</v>
          </cell>
          <cell r="C38" t="str">
            <v>Baugruppe MCD THA.leia³ 21.5" OB</v>
          </cell>
          <cell r="D38">
            <v>1</v>
          </cell>
          <cell r="E38">
            <v>1013.8</v>
          </cell>
        </row>
        <row r="39">
          <cell r="B39" t="str">
            <v>2990007M_B</v>
          </cell>
          <cell r="C39" t="str">
            <v>Baugruppe MCD THA.leia³ 21.5" T</v>
          </cell>
          <cell r="D39">
            <v>1</v>
          </cell>
          <cell r="E39">
            <v>1000.53</v>
          </cell>
        </row>
        <row r="40">
          <cell r="B40" t="str">
            <v>2990008M_B</v>
          </cell>
          <cell r="C40" t="str">
            <v>Baugruppe MCD THA.leia³ 21.5" OBT</v>
          </cell>
          <cell r="D40">
            <v>1</v>
          </cell>
          <cell r="E40">
            <v>1215.0999999999999</v>
          </cell>
        </row>
        <row r="41">
          <cell r="B41" t="str">
            <v>2990009M_B</v>
          </cell>
          <cell r="C41" t="str">
            <v>Baugruppe MCD THA.leia³ 24"</v>
          </cell>
          <cell r="D41">
            <v>1</v>
          </cell>
          <cell r="E41">
            <v>889.93</v>
          </cell>
        </row>
        <row r="42">
          <cell r="B42" t="str">
            <v>2990010M_B</v>
          </cell>
          <cell r="C42" t="str">
            <v>Baugruppe MCD THA.leia³ 24" OB</v>
          </cell>
          <cell r="D42">
            <v>1</v>
          </cell>
          <cell r="E42">
            <v>1138.82</v>
          </cell>
        </row>
        <row r="43">
          <cell r="B43" t="str">
            <v>2990011M_B</v>
          </cell>
          <cell r="C43" t="str">
            <v>Baugruppe MCD THA.leia³ 24" T</v>
          </cell>
          <cell r="D43">
            <v>1</v>
          </cell>
          <cell r="E43">
            <v>1134.1199999999999</v>
          </cell>
        </row>
        <row r="44">
          <cell r="B44" t="str">
            <v>2990012M_B</v>
          </cell>
          <cell r="C44" t="str">
            <v>Baugruppe MCD THA.leia³ 24" OBT</v>
          </cell>
          <cell r="D44">
            <v>1</v>
          </cell>
          <cell r="E44">
            <v>1383.01</v>
          </cell>
        </row>
        <row r="45">
          <cell r="B45" t="str">
            <v>2990013M_B</v>
          </cell>
          <cell r="C45" t="str">
            <v>Baugruppe MCD THA.leia³ 27"</v>
          </cell>
          <cell r="D45">
            <v>1</v>
          </cell>
          <cell r="E45">
            <v>1014.25</v>
          </cell>
        </row>
        <row r="46">
          <cell r="B46" t="str">
            <v>2990014M_B</v>
          </cell>
          <cell r="C46" t="str">
            <v>Baugruppe MCD THA.leia³ 27" OB</v>
          </cell>
          <cell r="D46">
            <v>1</v>
          </cell>
          <cell r="E46">
            <v>1395.75</v>
          </cell>
        </row>
        <row r="47">
          <cell r="B47" t="str">
            <v>2990015M_B</v>
          </cell>
          <cell r="C47" t="str">
            <v>Baugruppe MCD THA.leia³ 27" T</v>
          </cell>
          <cell r="D47">
            <v>1</v>
          </cell>
          <cell r="E47">
            <v>1306.6300000000001</v>
          </cell>
        </row>
        <row r="48">
          <cell r="B48" t="str">
            <v>2990016M_B</v>
          </cell>
          <cell r="C48" t="str">
            <v>Baugruppe MCD THA.leia³ 27" OBT</v>
          </cell>
          <cell r="D48">
            <v>1</v>
          </cell>
          <cell r="E48">
            <v>1688.13</v>
          </cell>
        </row>
        <row r="50">
          <cell r="C50" t="str">
            <v>Internes Netzteil Panel-PCs</v>
          </cell>
          <cell r="D50">
            <v>1</v>
          </cell>
        </row>
        <row r="51">
          <cell r="C51" t="str">
            <v>Externes Netzteil Panel-PCs</v>
          </cell>
          <cell r="D51">
            <v>1</v>
          </cell>
        </row>
        <row r="52">
          <cell r="C52" t="str">
            <v>Internes Netzteil Panel-PCs</v>
          </cell>
        </row>
        <row r="53">
          <cell r="B53" t="str">
            <v>6300057M-1</v>
          </cell>
          <cell r="C53" t="str">
            <v>Netzteil Open Frame Bicker BEO-2512M</v>
          </cell>
          <cell r="D53">
            <v>1</v>
          </cell>
          <cell r="E53">
            <v>72.349999999999994</v>
          </cell>
        </row>
        <row r="54">
          <cell r="B54" t="str">
            <v>7100153M-1</v>
          </cell>
          <cell r="C54" t="str">
            <v>Adapterkabel MCD TL Gen3 int. PSU 12V für D3243-S</v>
          </cell>
          <cell r="D54">
            <v>1</v>
          </cell>
          <cell r="E54">
            <v>1.67</v>
          </cell>
        </row>
        <row r="55">
          <cell r="B55" t="str">
            <v>3809266-1</v>
          </cell>
          <cell r="C55" t="str">
            <v>Kabel Kaltgerätestecker EU rechts abgewinkelt 1.8m</v>
          </cell>
          <cell r="D55">
            <v>1</v>
          </cell>
          <cell r="E55">
            <v>3.45</v>
          </cell>
        </row>
        <row r="56">
          <cell r="B56" t="str">
            <v>7100163M-1</v>
          </cell>
          <cell r="C56" t="str">
            <v>IEC-Buchse MCD TL³ int. PSU inkl. Erdungskabel</v>
          </cell>
          <cell r="D56">
            <v>1</v>
          </cell>
          <cell r="E56">
            <v>4</v>
          </cell>
        </row>
        <row r="57">
          <cell r="C57" t="str">
            <v>Externes Netzteil Panel-PCs</v>
          </cell>
          <cell r="D57">
            <v>1</v>
          </cell>
        </row>
        <row r="58">
          <cell r="B58" t="str">
            <v>6300076M</v>
          </cell>
          <cell r="C58" t="str">
            <v>Tischnetzteil Bicker BET-1612M 160W inkl. Binder</v>
          </cell>
          <cell r="D58">
            <v>1</v>
          </cell>
          <cell r="E58">
            <v>67.540000000000006</v>
          </cell>
        </row>
        <row r="59">
          <cell r="B59" t="str">
            <v>7100154M</v>
          </cell>
          <cell r="C59" t="str">
            <v>Adapterkabel MCD TL Gen3 ext. PSU 12V für D3243-S</v>
          </cell>
          <cell r="D59">
            <v>1</v>
          </cell>
          <cell r="E59">
            <v>13.26</v>
          </cell>
        </row>
        <row r="60">
          <cell r="B60">
            <v>3809200</v>
          </cell>
          <cell r="C60" t="str">
            <v>Kabel Strom Netz/Kaltgerätestecker 1.8m Int.</v>
          </cell>
          <cell r="D60">
            <v>1</v>
          </cell>
          <cell r="E60">
            <v>1.6</v>
          </cell>
        </row>
        <row r="61">
          <cell r="B61" t="str">
            <v>7000112M</v>
          </cell>
          <cell r="C61" t="str">
            <v>M3x4 Linsenkopfschraube</v>
          </cell>
          <cell r="D61">
            <v>1</v>
          </cell>
          <cell r="E61">
            <v>0</v>
          </cell>
        </row>
        <row r="62">
          <cell r="B62" t="str">
            <v>7100150M</v>
          </cell>
          <cell r="C62" t="str">
            <v>Sechskantmutter Binder M16x1.5 TL Gen3</v>
          </cell>
          <cell r="D62">
            <v>1</v>
          </cell>
          <cell r="E62">
            <v>0.24</v>
          </cell>
        </row>
        <row r="64">
          <cell r="C64" t="str">
            <v>CPU</v>
          </cell>
        </row>
        <row r="65">
          <cell r="B65" t="str">
            <v>3200026M</v>
          </cell>
          <cell r="C65" t="str">
            <v>Embedded Celeron G3930TE (2M Cache, 2.7 GHz)</v>
          </cell>
          <cell r="D65">
            <v>1</v>
          </cell>
          <cell r="E65">
            <v>31.5</v>
          </cell>
        </row>
        <row r="66">
          <cell r="B66" t="str">
            <v>3200020M</v>
          </cell>
          <cell r="C66" t="str">
            <v>Embedded Intel i3-7101TE Tray (3M Cache, 3.40 GHz)</v>
          </cell>
          <cell r="D66">
            <v>1</v>
          </cell>
          <cell r="E66">
            <v>91.2</v>
          </cell>
        </row>
        <row r="67">
          <cell r="B67" t="str">
            <v>3200021M</v>
          </cell>
          <cell r="C67" t="str">
            <v>Embedded Intel i5-7500T boxed (6M Cache, 3.30 GHz)</v>
          </cell>
          <cell r="D67">
            <v>1</v>
          </cell>
          <cell r="E67">
            <v>169</v>
          </cell>
        </row>
        <row r="68">
          <cell r="B68" t="str">
            <v>3200019M</v>
          </cell>
          <cell r="C68" t="str">
            <v>Embedded Intel i7-7700T (8M Cache, up to 3.80GHz)</v>
          </cell>
          <cell r="D68">
            <v>1</v>
          </cell>
          <cell r="E68">
            <v>289</v>
          </cell>
        </row>
        <row r="69">
          <cell r="B69" t="str">
            <v>3200017M</v>
          </cell>
          <cell r="C69" t="str">
            <v>Embedded Intel Celeron G3900TE (2M Cache, 2.3 GHz)</v>
          </cell>
          <cell r="D69">
            <v>1</v>
          </cell>
          <cell r="E69">
            <v>39.409999999999997</v>
          </cell>
        </row>
        <row r="70">
          <cell r="B70" t="str">
            <v>3200016M</v>
          </cell>
          <cell r="C70" t="str">
            <v>Embedded Intel i3-6100TE (4M Cache, up to 2.70GHz)</v>
          </cell>
          <cell r="D70">
            <v>1</v>
          </cell>
          <cell r="E70">
            <v>118</v>
          </cell>
        </row>
        <row r="71">
          <cell r="B71" t="str">
            <v>3200015M</v>
          </cell>
          <cell r="C71" t="str">
            <v>Embedded Intel i5-6500TE (6M Cache, up to 3.30GHz)</v>
          </cell>
          <cell r="D71">
            <v>1</v>
          </cell>
          <cell r="E71">
            <v>174</v>
          </cell>
        </row>
        <row r="72">
          <cell r="B72" t="str">
            <v>3200014M</v>
          </cell>
          <cell r="C72" t="str">
            <v>Embedded Intel i7-6700TE (8M Cache, up to 3.40GHz)</v>
          </cell>
          <cell r="D72">
            <v>1</v>
          </cell>
          <cell r="E72">
            <v>295</v>
          </cell>
        </row>
        <row r="74">
          <cell r="C74" t="str">
            <v>RAM</v>
          </cell>
        </row>
        <row r="75">
          <cell r="B75" t="str">
            <v>2190170-1</v>
          </cell>
          <cell r="C75" t="str">
            <v>RAM SO-DIMM DDR4 4GB PC2400 SAMSUNG</v>
          </cell>
          <cell r="E75">
            <v>35</v>
          </cell>
        </row>
        <row r="76">
          <cell r="B76" t="str">
            <v>2190171-1</v>
          </cell>
          <cell r="C76" t="str">
            <v>RAM SO-DIMM DDR4 8GB PC2400 SAMSUNG</v>
          </cell>
          <cell r="E76">
            <v>64.900000000000006</v>
          </cell>
        </row>
        <row r="78">
          <cell r="C78" t="str">
            <v>HDD</v>
          </cell>
        </row>
        <row r="79">
          <cell r="B79" t="str">
            <v>---</v>
          </cell>
          <cell r="C79" t="str">
            <v>---</v>
          </cell>
          <cell r="D79">
            <v>0</v>
          </cell>
          <cell r="E79">
            <v>0</v>
          </cell>
        </row>
        <row r="80">
          <cell r="B80">
            <v>2430048</v>
          </cell>
          <cell r="C80" t="str">
            <v>HDD 2.5" 100GB 4200rpm 24x7 ext. Temp SATA</v>
          </cell>
          <cell r="D80">
            <v>1</v>
          </cell>
          <cell r="E80">
            <v>117.5</v>
          </cell>
        </row>
        <row r="81">
          <cell r="B81">
            <v>2460032</v>
          </cell>
          <cell r="C81" t="str">
            <v>SSD 2.5" 240GB WD WDS240G1G0A Green</v>
          </cell>
          <cell r="D81">
            <v>1</v>
          </cell>
          <cell r="E81">
            <v>74.900000000000006</v>
          </cell>
        </row>
        <row r="82">
          <cell r="B82" t="str">
            <v>3400044M</v>
          </cell>
          <cell r="C82" t="str">
            <v>SSD 2.5" SATA3 250GB Samsung 860 EVO</v>
          </cell>
          <cell r="D82">
            <v>1</v>
          </cell>
          <cell r="E82">
            <v>74.900000000000006</v>
          </cell>
        </row>
        <row r="83">
          <cell r="B83" t="str">
            <v>3400045M</v>
          </cell>
          <cell r="C83" t="str">
            <v>SSD 2.5" SATA3 500GB Samsung 860 EVO</v>
          </cell>
          <cell r="D83">
            <v>1</v>
          </cell>
          <cell r="E83">
            <v>74.900000000000006</v>
          </cell>
        </row>
        <row r="84">
          <cell r="B84" t="str">
            <v>3400046M</v>
          </cell>
          <cell r="C84" t="str">
            <v>SSD 2.5" SATA3 1TB Samsung 860 EVO</v>
          </cell>
          <cell r="D84">
            <v>1</v>
          </cell>
          <cell r="E84">
            <v>74.900000000000006</v>
          </cell>
        </row>
        <row r="85">
          <cell r="B85" t="str">
            <v>3400047M</v>
          </cell>
          <cell r="C85" t="str">
            <v>SSD 2.5" SATA3 240GB Intel S4500 DataCenter</v>
          </cell>
          <cell r="D85">
            <v>1</v>
          </cell>
          <cell r="E85">
            <v>74.900000000000006</v>
          </cell>
        </row>
        <row r="86">
          <cell r="B86" t="str">
            <v>3400048M</v>
          </cell>
          <cell r="C86" t="str">
            <v>SSD 2.5" SATA3 480GB Intel S4500 DataCenter</v>
          </cell>
          <cell r="D86">
            <v>1</v>
          </cell>
          <cell r="E86">
            <v>74.900000000000006</v>
          </cell>
        </row>
        <row r="87">
          <cell r="B87" t="str">
            <v>3400049M</v>
          </cell>
          <cell r="C87" t="str">
            <v>SSD 2.5" SATA3 960GB Intel S4500 DataCenter</v>
          </cell>
          <cell r="D87">
            <v>1</v>
          </cell>
          <cell r="E87">
            <v>74.900000000000006</v>
          </cell>
        </row>
        <row r="88">
          <cell r="B88" t="str">
            <v>2430188-1</v>
          </cell>
          <cell r="C88" t="str">
            <v>HGST HD2.5" SATA3 1TB HTS721010A9E630 / 7.2k</v>
          </cell>
          <cell r="D88">
            <v>1</v>
          </cell>
          <cell r="E88">
            <v>47</v>
          </cell>
        </row>
        <row r="89">
          <cell r="B89">
            <v>2430169</v>
          </cell>
          <cell r="C89" t="str">
            <v>HDSATA 2.5" 1TB Seagate ST91000640NS / 7200rpm##</v>
          </cell>
          <cell r="D89">
            <v>1</v>
          </cell>
          <cell r="E89">
            <v>155</v>
          </cell>
        </row>
        <row r="90">
          <cell r="B90" t="str">
            <v>3400034M</v>
          </cell>
          <cell r="C90" t="str">
            <v>SATA-DOM Apacer SATA3 4GB SDM5A-M 7P/180D LP MLC</v>
          </cell>
          <cell r="D90">
            <v>1</v>
          </cell>
          <cell r="E90">
            <v>15.5</v>
          </cell>
        </row>
        <row r="91">
          <cell r="B91" t="str">
            <v>3400035M</v>
          </cell>
          <cell r="C91" t="str">
            <v>SATA-DOM Apacer SATA3 8GB SDM5A-M 7P/180D LP MLC</v>
          </cell>
          <cell r="D91">
            <v>1</v>
          </cell>
          <cell r="E91">
            <v>16</v>
          </cell>
        </row>
        <row r="92">
          <cell r="B92" t="str">
            <v>3400039M-1</v>
          </cell>
          <cell r="C92" t="str">
            <v>SSD 128GB M.2 SM220-M242 SATA3</v>
          </cell>
          <cell r="D92">
            <v>1</v>
          </cell>
          <cell r="E92">
            <v>62.79</v>
          </cell>
        </row>
        <row r="93">
          <cell r="B93" t="str">
            <v>7000112M</v>
          </cell>
          <cell r="C93" t="str">
            <v>M3x4 Linsenkopfschraube</v>
          </cell>
          <cell r="D93">
            <v>4</v>
          </cell>
          <cell r="E93">
            <v>0</v>
          </cell>
        </row>
        <row r="94">
          <cell r="B94">
            <v>3809917</v>
          </cell>
          <cell r="C94" t="str">
            <v>Kabel Y-Strom 5.25" nach 2x 5.25"</v>
          </cell>
          <cell r="D94">
            <v>1</v>
          </cell>
          <cell r="E94">
            <v>1</v>
          </cell>
        </row>
        <row r="96">
          <cell r="C96" t="str">
            <v>PCI</v>
          </cell>
        </row>
        <row r="97">
          <cell r="B97" t="str">
            <v>---</v>
          </cell>
          <cell r="C97" t="str">
            <v>---</v>
          </cell>
          <cell r="D97">
            <v>1</v>
          </cell>
          <cell r="E97">
            <v>0</v>
          </cell>
        </row>
        <row r="98">
          <cell r="B98" t="str">
            <v>3100013M</v>
          </cell>
          <cell r="C98" t="str">
            <v>Framegrabber Eltec pi3_RGB PCI</v>
          </cell>
          <cell r="D98">
            <v>1</v>
          </cell>
          <cell r="E98">
            <v>729.75</v>
          </cell>
        </row>
        <row r="99">
          <cell r="B99" t="str">
            <v>3600027M</v>
          </cell>
          <cell r="C99" t="str">
            <v>PCIe-Riser-Karte x1 &gt; PCI 32-Bit mit Kabel 9cm</v>
          </cell>
          <cell r="D99">
            <v>1</v>
          </cell>
          <cell r="E99">
            <v>41.57</v>
          </cell>
        </row>
        <row r="100">
          <cell r="B100">
            <v>3810091</v>
          </cell>
          <cell r="C100" t="str">
            <v>Kabel Y-Strom 5.25" nach 5.25"+3.5"</v>
          </cell>
          <cell r="D100">
            <v>1</v>
          </cell>
          <cell r="E100">
            <v>0.45960000000000001</v>
          </cell>
        </row>
        <row r="101">
          <cell r="B101" t="str">
            <v>7000007M</v>
          </cell>
          <cell r="C101" t="str">
            <v>Kabelbinder Schwarz 2.6x135mm</v>
          </cell>
          <cell r="D101">
            <v>1</v>
          </cell>
          <cell r="E101">
            <v>0.02</v>
          </cell>
        </row>
        <row r="102">
          <cell r="B102" t="str">
            <v>7200023M</v>
          </cell>
          <cell r="C102" t="str">
            <v>Isolierfolie MCD TL³ für PCIe-Bereich</v>
          </cell>
          <cell r="D102">
            <v>1</v>
          </cell>
          <cell r="E102">
            <v>2.15</v>
          </cell>
        </row>
        <row r="104">
          <cell r="C104" t="str">
            <v>WIFI</v>
          </cell>
        </row>
        <row r="105">
          <cell r="B105" t="str">
            <v>---</v>
          </cell>
          <cell r="C105" t="str">
            <v>---</v>
          </cell>
        </row>
        <row r="106">
          <cell r="C106" t="str">
            <v>Azurwave AW-CB161H</v>
          </cell>
        </row>
        <row r="107">
          <cell r="B107" t="str">
            <v>3600060M</v>
          </cell>
          <cell r="C107" t="str">
            <v>WiFi miniPCIe Azurwave WiFi with Bluetooth</v>
          </cell>
          <cell r="D107">
            <v>1</v>
          </cell>
          <cell r="E107">
            <v>8.43</v>
          </cell>
        </row>
        <row r="108">
          <cell r="B108" t="str">
            <v>7300174M</v>
          </cell>
          <cell r="C108" t="str">
            <v>MCD TL³ WLAN Doppelantenne 2xMHF 5dbi 500mm</v>
          </cell>
          <cell r="D108">
            <v>1</v>
          </cell>
          <cell r="E108">
            <v>6.1</v>
          </cell>
        </row>
        <row r="109">
          <cell r="B109" t="str">
            <v>3031218M</v>
          </cell>
          <cell r="C109" t="str">
            <v>WiFi Antennenabdeckung MCD TL³</v>
          </cell>
          <cell r="D109">
            <v>1</v>
          </cell>
          <cell r="E109">
            <v>14.71</v>
          </cell>
        </row>
        <row r="112">
          <cell r="C112" t="str">
            <v>LCD Power Adapter</v>
          </cell>
        </row>
        <row r="113">
          <cell r="B113" t="str">
            <v>---</v>
          </cell>
          <cell r="C113" t="str">
            <v>---</v>
          </cell>
        </row>
        <row r="114">
          <cell r="C114" t="str">
            <v>LCD Power Adapter</v>
          </cell>
        </row>
        <row r="115">
          <cell r="B115" t="str">
            <v>7100166M</v>
          </cell>
          <cell r="C115" t="str">
            <v>Platine LCD-Power-Adapter MCD THA.leia³</v>
          </cell>
          <cell r="D115">
            <v>1</v>
          </cell>
          <cell r="E115">
            <v>13.94</v>
          </cell>
        </row>
        <row r="116">
          <cell r="B116" t="str">
            <v>6300060M</v>
          </cell>
          <cell r="C116" t="str">
            <v>Kabel MCD LCD-P-A OMNI.view² (1,6m)</v>
          </cell>
          <cell r="D116">
            <v>1</v>
          </cell>
          <cell r="E116">
            <v>15.4</v>
          </cell>
        </row>
        <row r="117">
          <cell r="B117" t="str">
            <v>7000112M</v>
          </cell>
          <cell r="C117" t="str">
            <v>M3x4 Linsenkopfschraube</v>
          </cell>
          <cell r="D117">
            <v>1</v>
          </cell>
          <cell r="E117">
            <v>0</v>
          </cell>
        </row>
        <row r="119">
          <cell r="C119" t="str">
            <v>Zusätzliche Schnittstellen</v>
          </cell>
        </row>
        <row r="120">
          <cell r="B120">
            <v>2686106</v>
          </cell>
          <cell r="C120" t="str">
            <v>Kabel RS232 40cm intern</v>
          </cell>
          <cell r="D120">
            <v>1</v>
          </cell>
          <cell r="E120">
            <v>4.5</v>
          </cell>
        </row>
        <row r="121">
          <cell r="B121" t="str">
            <v>7100179M</v>
          </cell>
          <cell r="C121" t="str">
            <v>miniPCIe Adapter 4x RS232 EXSYS</v>
          </cell>
          <cell r="D121">
            <v>1</v>
          </cell>
          <cell r="E121">
            <v>49.4</v>
          </cell>
        </row>
        <row r="122">
          <cell r="B122" t="str">
            <v>3031219M</v>
          </cell>
          <cell r="C122" t="str">
            <v>Slotblech für 2x D-SUB 9pol.</v>
          </cell>
          <cell r="D122" t="str">
            <v>1-2</v>
          </cell>
          <cell r="E122">
            <v>0.71</v>
          </cell>
        </row>
        <row r="123">
          <cell r="B123" t="str">
            <v>7000104M</v>
          </cell>
          <cell r="C123" t="str">
            <v>PCI-Slotblende Kunststoff TL³ 4x galv. Trennung</v>
          </cell>
          <cell r="D123">
            <v>1</v>
          </cell>
          <cell r="E123">
            <v>29.15</v>
          </cell>
        </row>
        <row r="124">
          <cell r="B124" t="str">
            <v>7100159M</v>
          </cell>
          <cell r="C124" t="str">
            <v>Isolator ES&amp;S RS232 4kV, 5V</v>
          </cell>
          <cell r="D124" t="str">
            <v>1-4</v>
          </cell>
          <cell r="E124">
            <v>46.98</v>
          </cell>
        </row>
        <row r="125">
          <cell r="B125">
            <v>9824541</v>
          </cell>
          <cell r="C125" t="str">
            <v>Schraube Taptite M3x10</v>
          </cell>
          <cell r="D125" t="str">
            <v>0/4</v>
          </cell>
          <cell r="E125">
            <v>0.01</v>
          </cell>
        </row>
        <row r="126">
          <cell r="B126" t="str">
            <v>7100209M</v>
          </cell>
          <cell r="C126" t="str">
            <v>Stromkabel TL³ 4 x galv. Trennung 5V</v>
          </cell>
          <cell r="D126" t="str">
            <v>1</v>
          </cell>
          <cell r="E126">
            <v>7.38</v>
          </cell>
        </row>
        <row r="127">
          <cell r="B127" t="str">
            <v>7100103M</v>
          </cell>
          <cell r="C127" t="str">
            <v>Datenkabel MCD TL³ für RS232-Isolator L350</v>
          </cell>
          <cell r="D127" t="str">
            <v>1-4</v>
          </cell>
          <cell r="E127">
            <v>7.16</v>
          </cell>
        </row>
        <row r="128">
          <cell r="B128" t="str">
            <v>7000057M</v>
          </cell>
          <cell r="C128" t="str">
            <v>Aufkleber Galvanisch getrennt 10x8mm</v>
          </cell>
          <cell r="D128" t="str">
            <v>1-4</v>
          </cell>
          <cell r="E128">
            <v>7.0000000000000007E-2</v>
          </cell>
        </row>
        <row r="129">
          <cell r="B129" t="str">
            <v>3030127M</v>
          </cell>
          <cell r="C129" t="str">
            <v>AC² Blindblech RS232 Provertha AK09S Silber</v>
          </cell>
          <cell r="D129" t="str">
            <v>0-3</v>
          </cell>
          <cell r="E129">
            <v>0.55000000000000004</v>
          </cell>
        </row>
        <row r="130">
          <cell r="B130" t="str">
            <v>7300097M</v>
          </cell>
          <cell r="C130" t="str">
            <v>MCD Abstandsbolzen UNC</v>
          </cell>
          <cell r="D130" t="str">
            <v>0-8</v>
          </cell>
          <cell r="E130">
            <v>0.2</v>
          </cell>
        </row>
        <row r="132">
          <cell r="C132" t="str">
            <v>Vibrationslautsprecher</v>
          </cell>
        </row>
        <row r="133">
          <cell r="C133" t="str">
            <v>---</v>
          </cell>
        </row>
        <row r="134">
          <cell r="C134" t="str">
            <v>EX45S (10Watt)</v>
          </cell>
        </row>
        <row r="135">
          <cell r="C135" t="str">
            <v>EX60S (25 Watt)</v>
          </cell>
        </row>
        <row r="136">
          <cell r="B136" t="str">
            <v>6000020M</v>
          </cell>
          <cell r="C136" t="str">
            <v>Visaton Vibrationslautsprecher EX45S</v>
          </cell>
          <cell r="D136">
            <v>1</v>
          </cell>
          <cell r="E136">
            <v>15.09</v>
          </cell>
        </row>
        <row r="137">
          <cell r="B137" t="str">
            <v>7100210M</v>
          </cell>
          <cell r="C137" t="str">
            <v>Anschlusskabel Lautsprecher EX45S</v>
          </cell>
          <cell r="D137">
            <v>1</v>
          </cell>
          <cell r="E137">
            <v>2.44</v>
          </cell>
        </row>
        <row r="138">
          <cell r="B138" t="str">
            <v>7300156M</v>
          </cell>
          <cell r="C138" t="str">
            <v>3M VHB Klebeband 5952 F schwarz</v>
          </cell>
          <cell r="D138">
            <v>0.05</v>
          </cell>
          <cell r="E138">
            <v>72.349999999999994</v>
          </cell>
        </row>
        <row r="139">
          <cell r="B139" t="str">
            <v>6000021M</v>
          </cell>
          <cell r="C139" t="str">
            <v>Visaton Vibrationslautsprecher EX60S</v>
          </cell>
          <cell r="D139">
            <v>1</v>
          </cell>
          <cell r="E139">
            <v>25.33</v>
          </cell>
        </row>
        <row r="140">
          <cell r="B140" t="str">
            <v>7100210M</v>
          </cell>
          <cell r="C140" t="str">
            <v>Anschlusskabel Lautsprecher EX45S</v>
          </cell>
          <cell r="D140">
            <v>1</v>
          </cell>
          <cell r="E140">
            <v>2.44</v>
          </cell>
        </row>
        <row r="141">
          <cell r="B141" t="str">
            <v>7300156M</v>
          </cell>
          <cell r="C141" t="str">
            <v>3M VHB Klebeband 5952 F schwarz</v>
          </cell>
          <cell r="D141">
            <v>0.1</v>
          </cell>
          <cell r="E141">
            <v>72.349999999999994</v>
          </cell>
        </row>
        <row r="143">
          <cell r="C143" t="str">
            <v>USB 3.0 Front Schnittstelle</v>
          </cell>
        </row>
        <row r="144">
          <cell r="B144" t="str">
            <v>3031221M</v>
          </cell>
          <cell r="C144" t="str">
            <v>Blindblech MCD TL³ Front-USB Abdeckung</v>
          </cell>
          <cell r="D144">
            <v>1</v>
          </cell>
          <cell r="E144">
            <v>2.35</v>
          </cell>
        </row>
        <row r="146">
          <cell r="C146" t="str">
            <v>Operating systems</v>
          </cell>
        </row>
        <row r="147">
          <cell r="B147" t="str">
            <v>---</v>
          </cell>
          <cell r="C147" t="str">
            <v>---</v>
          </cell>
          <cell r="D147">
            <v>0</v>
          </cell>
          <cell r="E147">
            <v>0</v>
          </cell>
        </row>
        <row r="148">
          <cell r="B148">
            <v>9990410</v>
          </cell>
          <cell r="C148" t="str">
            <v>=&gt; Windows 7 Prof. 32bit DE vorinstalliert</v>
          </cell>
          <cell r="D148">
            <v>1</v>
          </cell>
          <cell r="E148">
            <v>0</v>
          </cell>
        </row>
        <row r="149">
          <cell r="B149">
            <v>9990411</v>
          </cell>
          <cell r="C149" t="str">
            <v>=&gt; Windows 7 Prof. 32bit UK vorinstalliert</v>
          </cell>
          <cell r="D149">
            <v>1</v>
          </cell>
          <cell r="E149">
            <v>0</v>
          </cell>
        </row>
        <row r="150">
          <cell r="B150">
            <v>9990415</v>
          </cell>
          <cell r="C150" t="str">
            <v>=&gt; Windows 7 Prof. 64bit DE vorinstalliert</v>
          </cell>
          <cell r="D150">
            <v>1</v>
          </cell>
          <cell r="E150">
            <v>0</v>
          </cell>
        </row>
        <row r="151">
          <cell r="B151">
            <v>9990416</v>
          </cell>
          <cell r="C151" t="str">
            <v>=&gt; Windows 7 Prof. 64bit UK vorinstalliert</v>
          </cell>
          <cell r="D151">
            <v>1</v>
          </cell>
          <cell r="E151">
            <v>0</v>
          </cell>
        </row>
        <row r="152">
          <cell r="B152">
            <v>9990380</v>
          </cell>
          <cell r="C152" t="str">
            <v>=&gt; Windows 7 - neutrale Installation -</v>
          </cell>
          <cell r="D152">
            <v>1</v>
          </cell>
          <cell r="E152">
            <v>0</v>
          </cell>
        </row>
        <row r="153">
          <cell r="B153">
            <v>9990544</v>
          </cell>
          <cell r="C153" t="str">
            <v>MS Windows 10 Pro 64 Bit [MUI] MCD inst.</v>
          </cell>
          <cell r="D153">
            <v>1</v>
          </cell>
        </row>
        <row r="154">
          <cell r="B154" t="str">
            <v>4100016M</v>
          </cell>
          <cell r="C154" t="str">
            <v>IGEL UDC3 DU Converter License IGEL LINUX</v>
          </cell>
          <cell r="D154">
            <v>1</v>
          </cell>
          <cell r="E154">
            <v>79</v>
          </cell>
        </row>
        <row r="155">
          <cell r="B155">
            <v>6506327</v>
          </cell>
          <cell r="C155" t="str">
            <v>T MS Windows 10 Pro. Liz. OA3.0 OEM</v>
          </cell>
          <cell r="D155">
            <v>1</v>
          </cell>
          <cell r="E155">
            <v>100</v>
          </cell>
        </row>
        <row r="156">
          <cell r="B156">
            <v>6506335</v>
          </cell>
          <cell r="C156" t="str">
            <v>T MS Windows 10 Pro. Liz. OA3.0 OEM with Downgrade</v>
          </cell>
          <cell r="D156">
            <v>1</v>
          </cell>
          <cell r="E156">
            <v>125</v>
          </cell>
        </row>
        <row r="157">
          <cell r="B157" t="str">
            <v>8120002M</v>
          </cell>
          <cell r="C157" t="str">
            <v>Formatierung Festplatte (S0 Kill)</v>
          </cell>
          <cell r="D157">
            <v>1</v>
          </cell>
          <cell r="E157">
            <v>0</v>
          </cell>
        </row>
        <row r="159">
          <cell r="C159" t="str">
            <v>BIOS</v>
          </cell>
        </row>
        <row r="160">
          <cell r="B160" t="str">
            <v>8120043M</v>
          </cell>
          <cell r="C160" t="str">
            <v>BIOS THA.leia³ Kabylake WIN10 Version R1.10</v>
          </cell>
          <cell r="D160">
            <v>1</v>
          </cell>
        </row>
        <row r="161">
          <cell r="B161" t="str">
            <v>8120046M</v>
          </cell>
          <cell r="C161" t="str">
            <v>BIOS THA.leia³ Kabylake WIN7 Version R1.10</v>
          </cell>
          <cell r="D161">
            <v>1</v>
          </cell>
        </row>
        <row r="162">
          <cell r="B162" t="str">
            <v>8120047M</v>
          </cell>
          <cell r="C162" t="str">
            <v>BIOS THA.leia³ Kabylake IGEL UDC3 Version R1.10</v>
          </cell>
          <cell r="D162">
            <v>1</v>
          </cell>
        </row>
        <row r="165">
          <cell r="C165" t="str">
            <v>Garantie</v>
          </cell>
        </row>
        <row r="166">
          <cell r="B166">
            <v>136</v>
          </cell>
          <cell r="C166" t="str">
            <v>Garantie 36 Monate (Bring-in)</v>
          </cell>
          <cell r="D166">
            <v>1</v>
          </cell>
          <cell r="E166">
            <v>0</v>
          </cell>
        </row>
        <row r="167">
          <cell r="B167">
            <v>148</v>
          </cell>
          <cell r="C167" t="str">
            <v>Garantie 48 Monate (Bring-in)</v>
          </cell>
          <cell r="D167">
            <v>1</v>
          </cell>
          <cell r="E167">
            <v>0.05</v>
          </cell>
        </row>
        <row r="168">
          <cell r="B168">
            <v>160</v>
          </cell>
          <cell r="C168" t="str">
            <v>Garantie 60 Monate (Bring-in)</v>
          </cell>
          <cell r="D168">
            <v>1</v>
          </cell>
          <cell r="E168">
            <v>0.10249999999999999</v>
          </cell>
        </row>
        <row r="169">
          <cell r="B169" t="str">
            <v>PS36</v>
          </cell>
          <cell r="C169" t="str">
            <v>Pickup-Service 36 Monate</v>
          </cell>
          <cell r="D169">
            <v>1</v>
          </cell>
          <cell r="E169">
            <v>0.02</v>
          </cell>
        </row>
        <row r="170">
          <cell r="B170" t="str">
            <v>PS48</v>
          </cell>
          <cell r="C170" t="str">
            <v>Pickup-Service 48 Monate</v>
          </cell>
          <cell r="D170">
            <v>1</v>
          </cell>
          <cell r="E170">
            <v>0.10299999999999999</v>
          </cell>
        </row>
        <row r="171">
          <cell r="B171" t="str">
            <v>PS60</v>
          </cell>
          <cell r="C171" t="str">
            <v>Pickup-Service 60 Monate (month)</v>
          </cell>
          <cell r="D171">
            <v>1</v>
          </cell>
          <cell r="E171">
            <v>0.193</v>
          </cell>
        </row>
        <row r="172">
          <cell r="B172" t="str">
            <v>PPSS36</v>
          </cell>
          <cell r="C172" t="str">
            <v>Premium Pickup-Spare-Service 36 Monate</v>
          </cell>
          <cell r="D172">
            <v>1</v>
          </cell>
          <cell r="E172">
            <v>0.14419999999999999</v>
          </cell>
        </row>
        <row r="173">
          <cell r="B173" t="str">
            <v>PPSS48</v>
          </cell>
          <cell r="C173" t="str">
            <v>Premium Pickup-Spare-Service 48 Monate</v>
          </cell>
          <cell r="D173">
            <v>1</v>
          </cell>
          <cell r="E173">
            <v>0.27250000000000002</v>
          </cell>
        </row>
        <row r="174">
          <cell r="B174" t="str">
            <v>PPSS60</v>
          </cell>
          <cell r="C174" t="str">
            <v>Premium Pickup-Spare-Service 60 Monate</v>
          </cell>
          <cell r="D174">
            <v>1</v>
          </cell>
          <cell r="E174">
            <v>0.41799999999999998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duktvarianten_ALT"/>
      <sheetName val="Übersicht"/>
      <sheetName val="To DO"/>
      <sheetName val="TL³ 21&quot;"/>
      <sheetName val="TL³ 24&quot;"/>
      <sheetName val="OV² 21&quot;"/>
      <sheetName val="Sonstiges"/>
      <sheetName val="Artikel-Liste"/>
      <sheetName val="EBM00212"/>
      <sheetName val="EBM00214"/>
      <sheetName val="EBM00223"/>
      <sheetName val="TL³ RS232 Konfig-Übersicht"/>
      <sheetName val="EBM00225"/>
      <sheetName val="EBM00227"/>
      <sheetName val="Optionsliste"/>
      <sheetName val="PC³"/>
      <sheetName val="EBM0023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4">
          <cell r="A4" t="str">
            <v>Nr.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"/>
  <sheetViews>
    <sheetView zoomScaleNormal="100" zoomScaleSheetLayoutView="115" workbookViewId="0">
      <selection activeCell="F17" sqref="F17"/>
    </sheetView>
  </sheetViews>
  <sheetFormatPr baseColWidth="10" defaultRowHeight="15" x14ac:dyDescent="0.25"/>
  <cols>
    <col min="2" max="2" width="36.5703125" customWidth="1"/>
    <col min="6" max="6" width="21.5703125" bestFit="1" customWidth="1"/>
    <col min="7" max="7" width="24.140625" bestFit="1" customWidth="1"/>
    <col min="8" max="8" width="23.5703125" bestFit="1" customWidth="1"/>
  </cols>
  <sheetData>
    <row r="1" spans="1:8" ht="20.25" x14ac:dyDescent="0.25">
      <c r="A1" s="377" t="str">
        <f ca="1">MID(CELL("Dateiname",A1),FIND("[",CELL("Dateiname",A1))+1,FIND("]",CELL("Dateiname",A1))-FIND("[",CELL("Dateiname",A1))-1)</f>
        <v>Händler-Preisliste.xlsx</v>
      </c>
      <c r="B1" s="377"/>
      <c r="C1" s="377"/>
      <c r="D1" s="377"/>
      <c r="E1" s="377"/>
      <c r="F1" s="377"/>
      <c r="G1" s="377"/>
      <c r="H1" s="377"/>
    </row>
    <row r="2" spans="1:8" s="62" customFormat="1" ht="20.25" x14ac:dyDescent="0.25">
      <c r="A2" s="377"/>
      <c r="B2" s="377"/>
      <c r="C2" s="377"/>
      <c r="D2" s="377"/>
      <c r="E2" s="377"/>
      <c r="F2" s="377"/>
      <c r="G2" s="377"/>
      <c r="H2" s="377"/>
    </row>
    <row r="3" spans="1:8" s="62" customFormat="1" ht="20.25" x14ac:dyDescent="0.25">
      <c r="A3" s="377" t="s">
        <v>277</v>
      </c>
      <c r="B3" s="377"/>
      <c r="C3" s="377"/>
      <c r="D3" s="377"/>
      <c r="E3" s="377"/>
      <c r="F3" s="377"/>
      <c r="G3" s="377"/>
      <c r="H3" s="377"/>
    </row>
    <row r="4" spans="1:8" s="62" customFormat="1" x14ac:dyDescent="0.25">
      <c r="A4" s="376"/>
      <c r="B4" s="376"/>
      <c r="C4" s="376"/>
      <c r="D4" s="376"/>
      <c r="E4" s="376"/>
      <c r="F4" s="376"/>
      <c r="G4" s="376"/>
      <c r="H4" s="376"/>
    </row>
    <row r="5" spans="1:8" s="62" customFormat="1" x14ac:dyDescent="0.25">
      <c r="A5" s="376"/>
      <c r="B5" s="376"/>
      <c r="C5" s="376"/>
      <c r="D5" s="376"/>
      <c r="E5" s="376"/>
      <c r="F5" s="376"/>
      <c r="G5" s="376"/>
      <c r="H5" s="376"/>
    </row>
    <row r="6" spans="1:8" x14ac:dyDescent="0.25">
      <c r="A6" s="376" t="s">
        <v>509</v>
      </c>
      <c r="B6" s="376"/>
      <c r="C6" s="376"/>
      <c r="D6" s="376"/>
      <c r="E6" s="376"/>
      <c r="F6" s="376"/>
      <c r="G6" s="376"/>
      <c r="H6" s="376"/>
    </row>
    <row r="7" spans="1:8" s="126" customFormat="1" x14ac:dyDescent="0.25">
      <c r="A7" s="376" t="s">
        <v>561</v>
      </c>
      <c r="B7" s="376"/>
      <c r="C7" s="376"/>
      <c r="D7" s="376"/>
      <c r="E7" s="376"/>
      <c r="F7" s="376"/>
      <c r="G7" s="376"/>
      <c r="H7" s="376"/>
    </row>
    <row r="8" spans="1:8" x14ac:dyDescent="0.25">
      <c r="A8" s="376" t="s">
        <v>82</v>
      </c>
      <c r="B8" s="376"/>
      <c r="C8" s="376"/>
      <c r="D8" s="376"/>
      <c r="E8" s="376"/>
      <c r="F8" s="376"/>
      <c r="G8" s="376"/>
      <c r="H8" s="376"/>
    </row>
    <row r="9" spans="1:8" s="74" customFormat="1" x14ac:dyDescent="0.25">
      <c r="A9" s="376" t="s">
        <v>328</v>
      </c>
      <c r="B9" s="376"/>
      <c r="C9" s="376"/>
      <c r="D9" s="376"/>
      <c r="E9" s="376"/>
      <c r="F9" s="376"/>
      <c r="G9" s="376"/>
      <c r="H9" s="376"/>
    </row>
    <row r="10" spans="1:8" x14ac:dyDescent="0.25">
      <c r="A10" s="376" t="s">
        <v>547</v>
      </c>
      <c r="B10" s="376"/>
      <c r="C10" s="376"/>
      <c r="D10" s="376"/>
      <c r="E10" s="376"/>
      <c r="F10" s="376"/>
      <c r="G10" s="376"/>
      <c r="H10" s="376"/>
    </row>
    <row r="11" spans="1:8" x14ac:dyDescent="0.25">
      <c r="A11" s="376"/>
      <c r="B11" s="376"/>
      <c r="C11" s="376"/>
      <c r="D11" s="376"/>
      <c r="E11" s="376"/>
      <c r="F11" s="376"/>
      <c r="G11" s="376"/>
      <c r="H11" s="376"/>
    </row>
    <row r="12" spans="1:8" x14ac:dyDescent="0.25">
      <c r="A12" s="86"/>
      <c r="B12" s="86"/>
      <c r="C12" s="86"/>
      <c r="D12" s="86"/>
      <c r="E12" s="86"/>
      <c r="F12" s="86"/>
      <c r="G12" s="86"/>
      <c r="H12" s="86"/>
    </row>
  </sheetData>
  <sheetProtection algorithmName="SHA-512" hashValue="ne4sNh7ndH0phbeh7g8QYpcsRelgU67w6vcRYj9MyAOfbKkhc9KJl+lli4HCXTHv/DLHqLfJsp6d5lzyeilFcA==" saltValue="q636YBnMlKJAQ/wdIznmaw==" spinCount="100000" sheet="1" objects="1" scenarios="1"/>
  <mergeCells count="11">
    <mergeCell ref="A1:H1"/>
    <mergeCell ref="A2:H2"/>
    <mergeCell ref="A3:H3"/>
    <mergeCell ref="A6:H6"/>
    <mergeCell ref="A4:H4"/>
    <mergeCell ref="A5:H5"/>
    <mergeCell ref="A11:H11"/>
    <mergeCell ref="A8:H8"/>
    <mergeCell ref="A9:H9"/>
    <mergeCell ref="A10:H10"/>
    <mergeCell ref="A7:H7"/>
  </mergeCells>
  <hyperlinks>
    <hyperlink ref="A6" location="'TL³ 21&quot;'!A1" display="MCD Medical Line THA.leia³ 21,5&quot;"/>
    <hyperlink ref="A10" location="'OV² 21&quot;'!A1" display="MCD Medical Line OMNI.view² 21,5&quot;"/>
    <hyperlink ref="A8" location="Sonstiges!A1" display="Sonstiges"/>
    <hyperlink ref="A8:H8" location="PC³!A1" display="MCD Medical Line PANA.ceia³"/>
    <hyperlink ref="A9" location="Sonstiges!A1" display="Sonstiges"/>
    <hyperlink ref="A9:H9" location="AN!A1" display="MCD Medical Line AESCU.nano"/>
    <hyperlink ref="A6:H6" location="TL³!Druckbereich" display="MCD Medical Line THA.leia³ 21,5&quot;"/>
    <hyperlink ref="A10:H10" location="OV²!A1" display="MCD Medical Line OMNI.view²"/>
    <hyperlink ref="A7" location="'OV² 21&quot;'!A1" display="MCD Medical Line OMNI.view² 21,5&quot;"/>
    <hyperlink ref="A7:H7" location="AC³!Druckbereich" display="MCD Medical Line AESCU.certus³"/>
  </hyperlinks>
  <pageMargins left="0.7" right="0.7" top="0.78740157499999996" bottom="0.78740157499999996" header="0.3" footer="0.3"/>
  <pageSetup paperSize="9" scale="58" orientation="portrait" r:id="rId1"/>
  <headerFooter>
    <oddHeader xml:space="preserve">&amp;C&amp;Datei
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167"/>
  <sheetViews>
    <sheetView view="pageBreakPreview" zoomScaleNormal="100" zoomScaleSheetLayoutView="100" workbookViewId="0">
      <pane ySplit="3" topLeftCell="A5" activePane="bottomLeft" state="frozen"/>
      <selection activeCell="G2" sqref="G2:L2"/>
      <selection pane="bottomLeft" activeCell="G2" sqref="G2:L2"/>
    </sheetView>
  </sheetViews>
  <sheetFormatPr baseColWidth="10" defaultColWidth="11.42578125" defaultRowHeight="12.75" x14ac:dyDescent="0.2"/>
  <cols>
    <col min="1" max="1" width="14.140625" style="193" bestFit="1" customWidth="1"/>
    <col min="2" max="2" width="24.28515625" style="242" bestFit="1" customWidth="1"/>
    <col min="3" max="3" width="67.140625" style="193" customWidth="1"/>
    <col min="4" max="4" width="8.140625" style="197" bestFit="1" customWidth="1"/>
    <col min="5" max="5" width="21.85546875" style="193" customWidth="1"/>
    <col min="6" max="6" width="11.5703125" style="197" customWidth="1"/>
    <col min="7" max="7" width="16.28515625" style="197" customWidth="1"/>
    <col min="8" max="8" width="16.28515625" style="244" customWidth="1"/>
    <col min="9" max="11" width="16.28515625" style="197" customWidth="1"/>
    <col min="12" max="16384" width="11.42578125" style="193"/>
  </cols>
  <sheetData>
    <row r="1" spans="2:11" ht="23.45" customHeight="1" x14ac:dyDescent="0.2">
      <c r="B1" s="194" t="s">
        <v>808</v>
      </c>
      <c r="C1" s="195" t="s">
        <v>82</v>
      </c>
      <c r="D1" s="195"/>
      <c r="E1" s="261" t="s">
        <v>760</v>
      </c>
      <c r="G1" s="200"/>
      <c r="H1" s="199"/>
      <c r="I1" s="200"/>
      <c r="J1" s="200"/>
      <c r="K1" s="200"/>
    </row>
    <row r="2" spans="2:11" ht="45.6" customHeight="1" x14ac:dyDescent="0.2">
      <c r="B2" s="201" t="s">
        <v>176</v>
      </c>
      <c r="C2" s="202" t="s">
        <v>282</v>
      </c>
      <c r="D2" s="203"/>
      <c r="E2" s="203"/>
      <c r="F2" s="203"/>
      <c r="G2" s="206"/>
      <c r="H2" s="205"/>
      <c r="I2" s="206"/>
      <c r="J2" s="206"/>
      <c r="K2" s="206"/>
    </row>
    <row r="3" spans="2:11" s="207" customFormat="1" ht="12" x14ac:dyDescent="0.25">
      <c r="B3" s="208" t="s">
        <v>0</v>
      </c>
      <c r="C3" s="209" t="s">
        <v>5</v>
      </c>
      <c r="D3" s="209" t="s">
        <v>181</v>
      </c>
      <c r="E3" s="209" t="s">
        <v>456</v>
      </c>
      <c r="F3" s="209"/>
      <c r="G3" s="245"/>
      <c r="H3" s="245"/>
      <c r="I3" s="209"/>
      <c r="J3" s="209"/>
      <c r="K3" s="209"/>
    </row>
    <row r="4" spans="2:11" s="218" customFormat="1" ht="12" customHeight="1" x14ac:dyDescent="0.2">
      <c r="B4" s="224"/>
      <c r="C4" s="213" t="s">
        <v>185</v>
      </c>
      <c r="D4" s="220"/>
      <c r="E4" s="220"/>
      <c r="F4" s="220"/>
      <c r="G4" s="222"/>
      <c r="H4" s="215"/>
      <c r="I4" s="210"/>
      <c r="J4" s="222"/>
      <c r="K4" s="222"/>
    </row>
    <row r="5" spans="2:11" s="218" customFormat="1" ht="12" customHeight="1" x14ac:dyDescent="0.2">
      <c r="B5" s="287" t="s">
        <v>93</v>
      </c>
      <c r="C5" s="288" t="s">
        <v>227</v>
      </c>
      <c r="D5" s="289">
        <v>1</v>
      </c>
      <c r="E5" s="210">
        <v>144.19753086419752</v>
      </c>
      <c r="F5" s="210"/>
      <c r="G5" s="222"/>
      <c r="H5" s="221"/>
      <c r="I5" s="210"/>
      <c r="J5" s="229"/>
      <c r="K5" s="222"/>
    </row>
    <row r="6" spans="2:11" s="218" customFormat="1" ht="12" customHeight="1" x14ac:dyDescent="0.2">
      <c r="B6" s="271">
        <v>2090249</v>
      </c>
      <c r="C6" s="288" t="s">
        <v>83</v>
      </c>
      <c r="D6" s="228">
        <v>1</v>
      </c>
      <c r="E6" s="210">
        <v>104.93827160493827</v>
      </c>
      <c r="F6" s="210"/>
      <c r="G6" s="222"/>
      <c r="H6" s="221"/>
      <c r="I6" s="210"/>
      <c r="J6" s="222"/>
      <c r="K6" s="222"/>
    </row>
    <row r="7" spans="2:11" s="218" customFormat="1" ht="12" customHeight="1" x14ac:dyDescent="0.2">
      <c r="B7" s="264" t="s">
        <v>467</v>
      </c>
      <c r="C7" s="265" t="s">
        <v>468</v>
      </c>
      <c r="D7" s="228">
        <v>1</v>
      </c>
      <c r="E7" s="210">
        <v>117.16049382716049</v>
      </c>
      <c r="F7" s="210"/>
      <c r="G7" s="222"/>
      <c r="H7" s="221"/>
      <c r="I7" s="210"/>
      <c r="J7" s="222"/>
      <c r="K7" s="222"/>
    </row>
    <row r="8" spans="2:11" s="218" customFormat="1" ht="12" customHeight="1" x14ac:dyDescent="0.2">
      <c r="B8" s="264" t="s">
        <v>89</v>
      </c>
      <c r="C8" s="288" t="s">
        <v>90</v>
      </c>
      <c r="D8" s="228">
        <v>4</v>
      </c>
      <c r="E8" s="210">
        <v>0.4768518518518518</v>
      </c>
      <c r="F8" s="210"/>
      <c r="G8" s="222"/>
      <c r="H8" s="221"/>
      <c r="I8" s="210"/>
      <c r="J8" s="222"/>
      <c r="K8" s="222"/>
    </row>
    <row r="9" spans="2:11" s="218" customFormat="1" ht="12" customHeight="1" x14ac:dyDescent="0.2">
      <c r="B9" s="264" t="s">
        <v>149</v>
      </c>
      <c r="C9" s="288" t="s">
        <v>150</v>
      </c>
      <c r="D9" s="228">
        <v>1</v>
      </c>
      <c r="E9" s="210">
        <v>9.6666666666666661</v>
      </c>
      <c r="F9" s="210"/>
      <c r="G9" s="222"/>
      <c r="H9" s="221"/>
      <c r="I9" s="210"/>
      <c r="J9" s="222"/>
      <c r="K9" s="222"/>
    </row>
    <row r="10" spans="2:11" s="218" customFormat="1" ht="12" customHeight="1" x14ac:dyDescent="0.2">
      <c r="B10" s="264" t="s">
        <v>130</v>
      </c>
      <c r="C10" s="288" t="s">
        <v>131</v>
      </c>
      <c r="D10" s="228">
        <v>1</v>
      </c>
      <c r="E10" s="210">
        <v>4.7407407407407405</v>
      </c>
      <c r="F10" s="210"/>
      <c r="G10" s="222"/>
      <c r="H10" s="221"/>
      <c r="I10" s="210"/>
      <c r="J10" s="222"/>
      <c r="K10" s="222"/>
    </row>
    <row r="11" spans="2:11" s="218" customFormat="1" ht="12" customHeight="1" x14ac:dyDescent="0.2">
      <c r="B11" s="264" t="s">
        <v>723</v>
      </c>
      <c r="C11" s="288" t="s">
        <v>761</v>
      </c>
      <c r="D11" s="265">
        <v>1</v>
      </c>
      <c r="E11" s="210">
        <v>0</v>
      </c>
      <c r="F11" s="210"/>
      <c r="G11" s="222"/>
      <c r="H11" s="221"/>
      <c r="I11" s="210"/>
      <c r="J11" s="222"/>
      <c r="K11" s="222"/>
    </row>
    <row r="12" spans="2:11" s="218" customFormat="1" ht="12" customHeight="1" x14ac:dyDescent="0.2">
      <c r="B12" s="271">
        <v>9824720</v>
      </c>
      <c r="C12" s="288" t="s">
        <v>160</v>
      </c>
      <c r="D12" s="228">
        <v>4</v>
      </c>
      <c r="E12" s="210">
        <v>4.8765432098765431E-2</v>
      </c>
      <c r="F12" s="210"/>
      <c r="G12" s="222"/>
      <c r="H12" s="221"/>
      <c r="I12" s="210"/>
      <c r="J12" s="222"/>
      <c r="K12" s="222"/>
    </row>
    <row r="13" spans="2:11" s="218" customFormat="1" ht="12" customHeight="1" x14ac:dyDescent="0.2">
      <c r="B13" s="271">
        <v>9824520</v>
      </c>
      <c r="C13" s="288" t="s">
        <v>157</v>
      </c>
      <c r="D13" s="228">
        <v>2</v>
      </c>
      <c r="E13" s="210">
        <v>0.30865432098765433</v>
      </c>
      <c r="F13" s="210"/>
      <c r="G13" s="222"/>
      <c r="H13" s="221"/>
      <c r="I13" s="210"/>
      <c r="J13" s="222"/>
      <c r="K13" s="222"/>
    </row>
    <row r="14" spans="2:11" s="218" customFormat="1" ht="12" customHeight="1" x14ac:dyDescent="0.2">
      <c r="B14" s="264" t="s">
        <v>124</v>
      </c>
      <c r="C14" s="288" t="s">
        <v>125</v>
      </c>
      <c r="D14" s="228">
        <v>3</v>
      </c>
      <c r="E14" s="210">
        <v>0.22530864197530862</v>
      </c>
      <c r="F14" s="210"/>
      <c r="G14" s="222"/>
      <c r="H14" s="221"/>
      <c r="I14" s="210"/>
      <c r="J14" s="222"/>
      <c r="K14" s="222"/>
    </row>
    <row r="15" spans="2:11" s="218" customFormat="1" ht="12" customHeight="1" x14ac:dyDescent="0.2">
      <c r="B15" s="271">
        <v>2750138</v>
      </c>
      <c r="C15" s="288" t="s">
        <v>88</v>
      </c>
      <c r="D15" s="282" t="s">
        <v>205</v>
      </c>
      <c r="E15" s="210">
        <v>7.1234567901234556</v>
      </c>
      <c r="F15" s="210"/>
      <c r="G15" s="222"/>
      <c r="H15" s="221"/>
      <c r="I15" s="210"/>
      <c r="J15" s="222"/>
      <c r="K15" s="222"/>
    </row>
    <row r="16" spans="2:11" s="218" customFormat="1" ht="12" customHeight="1" x14ac:dyDescent="0.2">
      <c r="B16" s="264" t="s">
        <v>120</v>
      </c>
      <c r="C16" s="288" t="s">
        <v>121</v>
      </c>
      <c r="D16" s="282" t="s">
        <v>205</v>
      </c>
      <c r="E16" s="210">
        <v>1.6049382716049383</v>
      </c>
      <c r="F16" s="210"/>
      <c r="G16" s="222"/>
      <c r="H16" s="221"/>
      <c r="I16" s="210"/>
      <c r="J16" s="222"/>
      <c r="K16" s="222"/>
    </row>
    <row r="17" spans="2:11" s="218" customFormat="1" ht="12" customHeight="1" x14ac:dyDescent="0.2">
      <c r="B17" s="290" t="s">
        <v>122</v>
      </c>
      <c r="C17" s="288" t="s">
        <v>123</v>
      </c>
      <c r="D17" s="282" t="s">
        <v>205</v>
      </c>
      <c r="E17" s="210">
        <v>2.2098765432098766</v>
      </c>
      <c r="F17" s="210"/>
      <c r="G17" s="222"/>
      <c r="H17" s="221"/>
      <c r="I17" s="210"/>
      <c r="J17" s="222"/>
      <c r="K17" s="222"/>
    </row>
    <row r="18" spans="2:11" s="218" customFormat="1" ht="12" customHeight="1" x14ac:dyDescent="0.2">
      <c r="B18" s="291" t="s">
        <v>9</v>
      </c>
      <c r="C18" s="220" t="s">
        <v>10</v>
      </c>
      <c r="D18" s="282" t="s">
        <v>283</v>
      </c>
      <c r="E18" s="210">
        <v>0.46913580246913578</v>
      </c>
      <c r="F18" s="210"/>
      <c r="G18" s="222"/>
      <c r="H18" s="221"/>
      <c r="I18" s="210"/>
      <c r="J18" s="222"/>
      <c r="K18" s="222"/>
    </row>
    <row r="19" spans="2:11" s="251" customFormat="1" ht="12" customHeight="1" x14ac:dyDescent="0.2">
      <c r="B19" s="292">
        <v>2090064</v>
      </c>
      <c r="C19" s="220" t="s">
        <v>8</v>
      </c>
      <c r="D19" s="228">
        <v>1</v>
      </c>
      <c r="E19" s="210">
        <v>0.91662962962962957</v>
      </c>
      <c r="F19" s="210"/>
      <c r="G19" s="268"/>
      <c r="H19" s="221"/>
      <c r="I19" s="235"/>
      <c r="J19" s="229"/>
      <c r="K19" s="229"/>
    </row>
    <row r="20" spans="2:11" s="251" customFormat="1" ht="12" customHeight="1" x14ac:dyDescent="0.2">
      <c r="B20" s="293" t="s">
        <v>118</v>
      </c>
      <c r="C20" s="288" t="s">
        <v>762</v>
      </c>
      <c r="D20" s="265">
        <v>1</v>
      </c>
      <c r="E20" s="210">
        <v>0</v>
      </c>
      <c r="F20" s="210"/>
      <c r="G20" s="268"/>
      <c r="H20" s="221"/>
      <c r="I20" s="235"/>
      <c r="J20" s="229"/>
      <c r="K20" s="229"/>
    </row>
    <row r="21" spans="2:11" s="251" customFormat="1" ht="12" customHeight="1" x14ac:dyDescent="0.2">
      <c r="B21" s="293">
        <v>9827006</v>
      </c>
      <c r="C21" s="288" t="s">
        <v>161</v>
      </c>
      <c r="D21" s="282" t="s">
        <v>320</v>
      </c>
      <c r="E21" s="210">
        <v>0.98559259259259246</v>
      </c>
      <c r="F21" s="210"/>
      <c r="G21" s="268"/>
      <c r="H21" s="221"/>
      <c r="I21" s="235"/>
      <c r="J21" s="229"/>
      <c r="K21" s="229"/>
    </row>
    <row r="22" spans="2:11" s="251" customFormat="1" ht="12" customHeight="1" x14ac:dyDescent="0.2">
      <c r="B22" s="271">
        <v>9840000</v>
      </c>
      <c r="C22" s="288" t="s">
        <v>163</v>
      </c>
      <c r="D22" s="228">
        <v>4</v>
      </c>
      <c r="E22" s="210">
        <v>7.407407407407407E-2</v>
      </c>
      <c r="F22" s="210"/>
      <c r="G22" s="268"/>
      <c r="H22" s="221"/>
      <c r="I22" s="235"/>
      <c r="J22" s="229"/>
      <c r="K22" s="229"/>
    </row>
    <row r="23" spans="2:11" s="251" customFormat="1" ht="12" customHeight="1" x14ac:dyDescent="0.2">
      <c r="B23" s="271">
        <v>9824524</v>
      </c>
      <c r="C23" s="288" t="s">
        <v>724</v>
      </c>
      <c r="D23" s="228">
        <v>12</v>
      </c>
      <c r="E23" s="210">
        <v>3.7037037037037035E-2</v>
      </c>
      <c r="F23" s="210"/>
      <c r="G23" s="268"/>
      <c r="H23" s="221"/>
      <c r="I23" s="235"/>
      <c r="J23" s="229"/>
      <c r="K23" s="229"/>
    </row>
    <row r="24" spans="2:11" s="251" customFormat="1" ht="12" customHeight="1" x14ac:dyDescent="0.2">
      <c r="B24" s="271">
        <v>3809200</v>
      </c>
      <c r="C24" s="288" t="s">
        <v>7</v>
      </c>
      <c r="D24" s="228">
        <v>1</v>
      </c>
      <c r="E24" s="210">
        <v>1.9753086419753085</v>
      </c>
      <c r="F24" s="210"/>
      <c r="G24" s="268"/>
      <c r="H24" s="221"/>
      <c r="I24" s="235"/>
      <c r="J24" s="229"/>
      <c r="K24" s="229"/>
    </row>
    <row r="25" spans="2:11" s="251" customFormat="1" ht="12" customHeight="1" x14ac:dyDescent="0.2">
      <c r="B25" s="264" t="s">
        <v>116</v>
      </c>
      <c r="C25" s="288" t="s">
        <v>117</v>
      </c>
      <c r="D25" s="228">
        <v>14</v>
      </c>
      <c r="E25" s="210">
        <v>2.4691358024691357E-2</v>
      </c>
      <c r="F25" s="210"/>
      <c r="G25" s="268"/>
      <c r="H25" s="221"/>
      <c r="I25" s="235"/>
      <c r="J25" s="229"/>
      <c r="K25" s="229"/>
    </row>
    <row r="26" spans="2:11" s="251" customFormat="1" ht="12" customHeight="1" x14ac:dyDescent="0.2">
      <c r="B26" s="264" t="s">
        <v>33</v>
      </c>
      <c r="C26" s="288" t="s">
        <v>152</v>
      </c>
      <c r="D26" s="228">
        <v>1</v>
      </c>
      <c r="E26" s="210">
        <v>86.419753086419746</v>
      </c>
      <c r="F26" s="210"/>
      <c r="G26" s="268"/>
      <c r="H26" s="221"/>
      <c r="I26" s="235"/>
      <c r="J26" s="229"/>
      <c r="K26" s="229"/>
    </row>
    <row r="27" spans="2:11" s="251" customFormat="1" ht="12" customHeight="1" x14ac:dyDescent="0.2">
      <c r="B27" s="264" t="s">
        <v>249</v>
      </c>
      <c r="C27" s="288" t="s">
        <v>763</v>
      </c>
      <c r="D27" s="265">
        <v>1</v>
      </c>
      <c r="E27" s="210">
        <v>4.9382716049382713E-2</v>
      </c>
      <c r="F27" s="210"/>
      <c r="G27" s="268"/>
      <c r="H27" s="221"/>
      <c r="I27" s="235"/>
      <c r="J27" s="229"/>
      <c r="K27" s="229"/>
    </row>
    <row r="28" spans="2:11" s="251" customFormat="1" ht="12" customHeight="1" x14ac:dyDescent="0.2">
      <c r="B28" s="271" t="s">
        <v>488</v>
      </c>
      <c r="C28" s="288" t="s">
        <v>747</v>
      </c>
      <c r="D28" s="265">
        <v>1</v>
      </c>
      <c r="E28" s="210">
        <v>5.7901234567901234</v>
      </c>
      <c r="F28" s="210"/>
      <c r="G28" s="268"/>
      <c r="H28" s="221"/>
      <c r="I28" s="235"/>
      <c r="J28" s="229"/>
      <c r="K28" s="229"/>
    </row>
    <row r="29" spans="2:11" s="251" customFormat="1" ht="12" customHeight="1" x14ac:dyDescent="0.2">
      <c r="B29" s="271" t="s">
        <v>489</v>
      </c>
      <c r="C29" s="288" t="s">
        <v>748</v>
      </c>
      <c r="D29" s="265">
        <v>1</v>
      </c>
      <c r="E29" s="210">
        <v>7.1975308641975309</v>
      </c>
      <c r="F29" s="210"/>
      <c r="G29" s="268"/>
      <c r="H29" s="221"/>
      <c r="I29" s="235"/>
      <c r="J29" s="229"/>
      <c r="K29" s="229"/>
    </row>
    <row r="30" spans="2:11" s="251" customFormat="1" ht="12" customHeight="1" x14ac:dyDescent="0.2">
      <c r="B30" s="271" t="s">
        <v>490</v>
      </c>
      <c r="C30" s="288" t="s">
        <v>749</v>
      </c>
      <c r="D30" s="265">
        <v>1</v>
      </c>
      <c r="E30" s="210">
        <v>2.0493827160493825</v>
      </c>
      <c r="G30" s="268"/>
      <c r="H30" s="221"/>
      <c r="I30" s="235"/>
      <c r="J30" s="229"/>
      <c r="K30" s="229"/>
    </row>
    <row r="31" spans="2:11" s="218" customFormat="1" ht="12" customHeight="1" x14ac:dyDescent="0.2">
      <c r="B31" s="271" t="s">
        <v>569</v>
      </c>
      <c r="C31" s="288" t="s">
        <v>725</v>
      </c>
      <c r="D31" s="228">
        <v>1</v>
      </c>
      <c r="E31" s="210">
        <v>2.0590123456790121</v>
      </c>
      <c r="F31" s="210"/>
      <c r="G31" s="222"/>
      <c r="H31" s="221"/>
      <c r="I31" s="235"/>
      <c r="J31" s="222"/>
      <c r="K31" s="222"/>
    </row>
    <row r="32" spans="2:11" s="218" customFormat="1" ht="12" customHeight="1" x14ac:dyDescent="0.2">
      <c r="B32" s="271" t="s">
        <v>726</v>
      </c>
      <c r="C32" s="288" t="s">
        <v>727</v>
      </c>
      <c r="D32" s="228">
        <v>1</v>
      </c>
      <c r="E32" s="210">
        <v>0</v>
      </c>
      <c r="F32" s="210"/>
      <c r="G32" s="222"/>
      <c r="H32" s="221"/>
      <c r="I32" s="235"/>
      <c r="J32" s="222"/>
      <c r="K32" s="222"/>
    </row>
    <row r="33" spans="1:11" s="218" customFormat="1" ht="12" customHeight="1" x14ac:dyDescent="0.2">
      <c r="B33" s="224"/>
      <c r="C33" s="213" t="s">
        <v>186</v>
      </c>
      <c r="D33" s="220"/>
      <c r="E33" s="220">
        <v>0</v>
      </c>
      <c r="F33" s="210"/>
      <c r="G33" s="222"/>
      <c r="H33" s="215"/>
      <c r="I33" s="210"/>
      <c r="J33" s="222"/>
      <c r="K33" s="222"/>
    </row>
    <row r="34" spans="1:11" s="218" customFormat="1" ht="12" customHeight="1" x14ac:dyDescent="0.2">
      <c r="A34" s="251"/>
      <c r="B34" s="264" t="s">
        <v>753</v>
      </c>
      <c r="C34" s="265" t="s">
        <v>170</v>
      </c>
      <c r="D34" s="227" t="s">
        <v>178</v>
      </c>
      <c r="E34" s="228">
        <v>0</v>
      </c>
      <c r="F34" s="210"/>
      <c r="G34" s="229"/>
      <c r="H34" s="215"/>
      <c r="I34" s="210"/>
      <c r="J34" s="222"/>
      <c r="K34" s="222"/>
    </row>
    <row r="35" spans="1:11" s="218" customFormat="1" ht="12" customHeight="1" x14ac:dyDescent="0.2">
      <c r="A35" s="251"/>
      <c r="B35" s="264" t="s">
        <v>759</v>
      </c>
      <c r="C35" s="265" t="s">
        <v>175</v>
      </c>
      <c r="D35" s="227" t="s">
        <v>178</v>
      </c>
      <c r="E35" s="228">
        <v>0</v>
      </c>
      <c r="F35" s="210"/>
      <c r="G35" s="229"/>
      <c r="H35" s="215"/>
      <c r="I35" s="210"/>
      <c r="J35" s="222"/>
      <c r="K35" s="222"/>
    </row>
    <row r="36" spans="1:11" s="218" customFormat="1" ht="12" customHeight="1" x14ac:dyDescent="0.2">
      <c r="A36" s="251"/>
      <c r="B36" s="264" t="s">
        <v>225</v>
      </c>
      <c r="C36" s="265" t="s">
        <v>764</v>
      </c>
      <c r="D36" s="227">
        <v>1</v>
      </c>
      <c r="E36" s="228">
        <v>0</v>
      </c>
      <c r="F36" s="210"/>
      <c r="G36" s="229"/>
      <c r="H36" s="215"/>
      <c r="I36" s="210"/>
      <c r="J36" s="222"/>
      <c r="K36" s="222"/>
    </row>
    <row r="37" spans="1:11" s="218" customFormat="1" ht="12" customHeight="1" x14ac:dyDescent="0.2">
      <c r="A37" s="251"/>
      <c r="B37" s="264" t="s">
        <v>169</v>
      </c>
      <c r="C37" s="265" t="s">
        <v>728</v>
      </c>
      <c r="D37" s="227">
        <v>2</v>
      </c>
      <c r="E37" s="228">
        <v>0</v>
      </c>
      <c r="F37" s="210"/>
      <c r="G37" s="229"/>
      <c r="H37" s="215"/>
      <c r="I37" s="210"/>
      <c r="J37" s="222"/>
      <c r="K37" s="222"/>
    </row>
    <row r="38" spans="1:11" s="218" customFormat="1" ht="12" customHeight="1" x14ac:dyDescent="0.2">
      <c r="A38" s="251"/>
      <c r="B38" s="264" t="s">
        <v>757</v>
      </c>
      <c r="C38" s="265" t="s">
        <v>173</v>
      </c>
      <c r="D38" s="227" t="s">
        <v>178</v>
      </c>
      <c r="E38" s="228">
        <v>0</v>
      </c>
      <c r="F38" s="210"/>
      <c r="G38" s="229"/>
      <c r="H38" s="215"/>
      <c r="I38" s="210"/>
      <c r="J38" s="222"/>
      <c r="K38" s="222"/>
    </row>
    <row r="39" spans="1:11" s="218" customFormat="1" ht="12" customHeight="1" x14ac:dyDescent="0.2">
      <c r="A39" s="251"/>
      <c r="B39" s="264" t="s">
        <v>754</v>
      </c>
      <c r="C39" s="265" t="s">
        <v>171</v>
      </c>
      <c r="D39" s="227" t="s">
        <v>178</v>
      </c>
      <c r="E39" s="228">
        <v>0</v>
      </c>
      <c r="F39" s="210"/>
      <c r="G39" s="229"/>
      <c r="H39" s="215"/>
      <c r="I39" s="210"/>
      <c r="J39" s="222"/>
      <c r="K39" s="222"/>
    </row>
    <row r="40" spans="1:11" ht="12" customHeight="1" x14ac:dyDescent="0.2">
      <c r="A40" s="231"/>
      <c r="B40" s="231"/>
      <c r="C40" s="231" t="s">
        <v>188</v>
      </c>
      <c r="D40" s="231"/>
      <c r="E40" s="231">
        <v>0</v>
      </c>
      <c r="F40" s="231"/>
      <c r="G40" s="231"/>
      <c r="H40" s="231"/>
      <c r="I40" s="231"/>
      <c r="J40" s="231"/>
      <c r="K40" s="231"/>
    </row>
    <row r="41" spans="1:11" ht="12" customHeight="1" x14ac:dyDescent="0.2">
      <c r="B41" s="212"/>
      <c r="C41" s="213" t="s">
        <v>44</v>
      </c>
      <c r="D41" s="228"/>
      <c r="E41" s="235">
        <v>0</v>
      </c>
      <c r="F41" s="235"/>
      <c r="G41" s="229"/>
      <c r="H41" s="215"/>
      <c r="I41" s="210"/>
      <c r="J41" s="222"/>
      <c r="K41" s="222"/>
    </row>
    <row r="42" spans="1:11" ht="12" customHeight="1" x14ac:dyDescent="0.2">
      <c r="B42" s="294">
        <v>2181627</v>
      </c>
      <c r="C42" s="220" t="s">
        <v>729</v>
      </c>
      <c r="D42" s="228">
        <v>1</v>
      </c>
      <c r="E42" s="235">
        <v>148.02469135802468</v>
      </c>
      <c r="F42" s="235"/>
      <c r="G42" s="229"/>
      <c r="H42" s="221"/>
      <c r="I42" s="235"/>
      <c r="J42" s="222"/>
      <c r="K42" s="222" t="s">
        <v>306</v>
      </c>
    </row>
    <row r="43" spans="1:11" ht="12" customHeight="1" x14ac:dyDescent="0.2">
      <c r="B43" s="294">
        <v>2181623</v>
      </c>
      <c r="C43" s="220" t="s">
        <v>730</v>
      </c>
      <c r="D43" s="228">
        <v>1</v>
      </c>
      <c r="E43" s="235">
        <v>227.16049382716048</v>
      </c>
      <c r="F43" s="235"/>
      <c r="G43" s="229"/>
      <c r="H43" s="221"/>
      <c r="I43" s="235"/>
      <c r="J43" s="222"/>
      <c r="K43" s="222" t="s">
        <v>307</v>
      </c>
    </row>
    <row r="44" spans="1:11" ht="12" customHeight="1" x14ac:dyDescent="0.2">
      <c r="B44" s="294">
        <v>2181625</v>
      </c>
      <c r="C44" s="220" t="s">
        <v>731</v>
      </c>
      <c r="D44" s="228">
        <v>1</v>
      </c>
      <c r="E44" s="235">
        <v>364.19753086419752</v>
      </c>
      <c r="F44" s="235"/>
      <c r="G44" s="229"/>
      <c r="H44" s="221"/>
      <c r="I44" s="235"/>
      <c r="J44" s="222"/>
      <c r="K44" s="222" t="s">
        <v>308</v>
      </c>
    </row>
    <row r="45" spans="1:11" ht="12" customHeight="1" x14ac:dyDescent="0.2">
      <c r="B45" s="294" t="s">
        <v>473</v>
      </c>
      <c r="C45" s="220" t="s">
        <v>474</v>
      </c>
      <c r="D45" s="228">
        <v>1</v>
      </c>
      <c r="E45" s="235">
        <v>112.77777777777776</v>
      </c>
      <c r="F45" s="235"/>
      <c r="G45" s="229"/>
      <c r="H45" s="221"/>
      <c r="I45" s="235"/>
      <c r="J45" s="222"/>
      <c r="K45" s="222" t="s">
        <v>306</v>
      </c>
    </row>
    <row r="46" spans="1:11" ht="12" customHeight="1" x14ac:dyDescent="0.2">
      <c r="B46" s="294" t="s">
        <v>471</v>
      </c>
      <c r="C46" s="220" t="s">
        <v>472</v>
      </c>
      <c r="D46" s="228">
        <v>1</v>
      </c>
      <c r="E46" s="235">
        <v>245.67901234567898</v>
      </c>
      <c r="F46" s="235"/>
      <c r="G46" s="229"/>
      <c r="H46" s="221"/>
      <c r="I46" s="235"/>
      <c r="J46" s="222"/>
      <c r="K46" s="222" t="s">
        <v>307</v>
      </c>
    </row>
    <row r="47" spans="1:11" ht="12" customHeight="1" x14ac:dyDescent="0.2">
      <c r="B47" s="294" t="s">
        <v>469</v>
      </c>
      <c r="C47" s="220" t="s">
        <v>470</v>
      </c>
      <c r="D47" s="228">
        <v>1</v>
      </c>
      <c r="E47" s="235">
        <v>356.79012345679013</v>
      </c>
      <c r="F47" s="235"/>
      <c r="G47" s="229"/>
      <c r="H47" s="221"/>
      <c r="I47" s="235"/>
      <c r="J47" s="222"/>
      <c r="K47" s="222" t="s">
        <v>308</v>
      </c>
    </row>
    <row r="48" spans="1:11" ht="12" customHeight="1" x14ac:dyDescent="0.2">
      <c r="B48" s="219" t="s">
        <v>492</v>
      </c>
      <c r="C48" s="220" t="s">
        <v>732</v>
      </c>
      <c r="D48" s="228">
        <v>1</v>
      </c>
      <c r="E48" s="235">
        <v>14.987654320987653</v>
      </c>
      <c r="F48" s="235"/>
      <c r="G48" s="229"/>
      <c r="H48" s="221"/>
      <c r="I48" s="235"/>
      <c r="J48" s="222"/>
      <c r="K48" s="222"/>
    </row>
    <row r="49" spans="1:11" ht="12" customHeight="1" x14ac:dyDescent="0.2">
      <c r="B49" s="219"/>
      <c r="C49" s="220"/>
      <c r="D49" s="228"/>
      <c r="E49" s="235">
        <v>0</v>
      </c>
      <c r="F49" s="235"/>
      <c r="G49" s="229"/>
      <c r="H49" s="221"/>
      <c r="I49" s="235"/>
      <c r="J49" s="222"/>
      <c r="K49" s="222"/>
    </row>
    <row r="50" spans="1:11" ht="12" customHeight="1" x14ac:dyDescent="0.2">
      <c r="A50" s="248">
        <v>1</v>
      </c>
      <c r="B50" s="219"/>
      <c r="C50" s="234" t="s">
        <v>1</v>
      </c>
      <c r="D50" s="220"/>
      <c r="E50" s="220">
        <v>0</v>
      </c>
      <c r="F50" s="210"/>
      <c r="G50" s="222"/>
      <c r="H50" s="221"/>
      <c r="I50" s="210"/>
      <c r="J50" s="222"/>
      <c r="K50" s="222"/>
    </row>
    <row r="51" spans="1:11" ht="12" customHeight="1" x14ac:dyDescent="0.2">
      <c r="A51" s="248">
        <v>2</v>
      </c>
      <c r="B51" s="294">
        <v>2690014</v>
      </c>
      <c r="C51" s="220" t="s">
        <v>390</v>
      </c>
      <c r="D51" s="220"/>
      <c r="E51" s="235">
        <v>39.506172839506171</v>
      </c>
      <c r="F51" s="210"/>
      <c r="G51" s="222"/>
      <c r="H51" s="221"/>
      <c r="I51" s="235"/>
      <c r="J51" s="222"/>
      <c r="K51" s="222"/>
    </row>
    <row r="52" spans="1:11" ht="12" customHeight="1" x14ac:dyDescent="0.2">
      <c r="A52" s="248">
        <v>3</v>
      </c>
      <c r="B52" s="294">
        <v>2690005</v>
      </c>
      <c r="C52" s="220" t="s">
        <v>389</v>
      </c>
      <c r="D52" s="220"/>
      <c r="E52" s="235">
        <v>89.506172839506164</v>
      </c>
      <c r="F52" s="210"/>
      <c r="G52" s="222"/>
      <c r="H52" s="221"/>
      <c r="I52" s="235"/>
      <c r="J52" s="222"/>
      <c r="K52" s="222"/>
    </row>
    <row r="53" spans="1:11" ht="12" customHeight="1" x14ac:dyDescent="0.2">
      <c r="A53" s="248">
        <v>4</v>
      </c>
      <c r="B53" s="219"/>
      <c r="C53" s="273"/>
      <c r="D53" s="220"/>
      <c r="E53" s="220">
        <v>0</v>
      </c>
      <c r="F53" s="210"/>
      <c r="G53" s="222"/>
      <c r="H53" s="221"/>
      <c r="I53" s="210"/>
      <c r="J53" s="222"/>
      <c r="K53" s="222"/>
    </row>
    <row r="54" spans="1:11" ht="12" customHeight="1" x14ac:dyDescent="0.2">
      <c r="B54" s="219"/>
      <c r="C54" s="295" t="s">
        <v>733</v>
      </c>
      <c r="D54" s="220"/>
      <c r="E54" s="220">
        <v>0</v>
      </c>
      <c r="F54" s="210"/>
      <c r="G54" s="222"/>
      <c r="H54" s="221"/>
      <c r="I54" s="210"/>
      <c r="J54" s="222"/>
      <c r="K54" s="222"/>
    </row>
    <row r="55" spans="1:11" ht="12" customHeight="1" x14ac:dyDescent="0.2">
      <c r="B55" s="219" t="s">
        <v>178</v>
      </c>
      <c r="C55" s="283" t="s">
        <v>178</v>
      </c>
      <c r="D55" s="220">
        <v>0</v>
      </c>
      <c r="E55" s="210">
        <v>0</v>
      </c>
      <c r="F55" s="210"/>
      <c r="G55" s="222"/>
      <c r="H55" s="221"/>
      <c r="I55" s="210"/>
      <c r="J55" s="222"/>
      <c r="K55" s="222"/>
    </row>
    <row r="56" spans="1:11" ht="12" customHeight="1" x14ac:dyDescent="0.2">
      <c r="A56" s="248" t="s">
        <v>256</v>
      </c>
      <c r="B56" s="294" t="s">
        <v>388</v>
      </c>
      <c r="C56" s="220" t="s">
        <v>734</v>
      </c>
      <c r="D56" s="228">
        <v>1</v>
      </c>
      <c r="E56" s="235">
        <v>49.074074074074069</v>
      </c>
      <c r="F56" s="210"/>
      <c r="G56" s="222"/>
      <c r="H56" s="221"/>
      <c r="I56" s="235"/>
      <c r="J56" s="222"/>
      <c r="K56" s="222" t="s">
        <v>298</v>
      </c>
    </row>
    <row r="57" spans="1:11" ht="12" customHeight="1" x14ac:dyDescent="0.2">
      <c r="A57" s="248" t="s">
        <v>257</v>
      </c>
      <c r="B57" s="294" t="s">
        <v>719</v>
      </c>
      <c r="C57" s="220" t="s">
        <v>720</v>
      </c>
      <c r="D57" s="228">
        <v>1</v>
      </c>
      <c r="E57" s="235">
        <v>39.382716049382715</v>
      </c>
      <c r="F57" s="210"/>
      <c r="G57" s="222"/>
      <c r="H57" s="221"/>
      <c r="I57" s="235"/>
      <c r="J57" s="222"/>
      <c r="K57" s="228">
        <v>3.5</v>
      </c>
    </row>
    <row r="58" spans="1:11" ht="12" customHeight="1" x14ac:dyDescent="0.2">
      <c r="B58" s="291" t="s">
        <v>386</v>
      </c>
      <c r="C58" s="220" t="s">
        <v>86</v>
      </c>
      <c r="D58" s="228">
        <v>1</v>
      </c>
      <c r="E58" s="235">
        <v>92.592592592592581</v>
      </c>
      <c r="F58" s="210"/>
      <c r="G58" s="222"/>
      <c r="H58" s="221"/>
      <c r="I58" s="235"/>
      <c r="J58" s="222"/>
      <c r="K58" s="222" t="s">
        <v>298</v>
      </c>
    </row>
    <row r="59" spans="1:11" ht="12" customHeight="1" x14ac:dyDescent="0.2">
      <c r="B59" s="291" t="s">
        <v>562</v>
      </c>
      <c r="C59" s="220" t="s">
        <v>563</v>
      </c>
      <c r="D59" s="228">
        <v>1</v>
      </c>
      <c r="E59" s="210">
        <v>72.716049382716037</v>
      </c>
      <c r="F59" s="210"/>
      <c r="G59" s="222"/>
      <c r="H59" s="221"/>
      <c r="I59" s="235"/>
      <c r="J59" s="222"/>
      <c r="K59" s="228">
        <v>2.5</v>
      </c>
    </row>
    <row r="60" spans="1:11" ht="12" customHeight="1" x14ac:dyDescent="0.2">
      <c r="B60" s="291" t="s">
        <v>621</v>
      </c>
      <c r="C60" s="220" t="s">
        <v>622</v>
      </c>
      <c r="D60" s="228">
        <v>1</v>
      </c>
      <c r="E60" s="210">
        <v>117.59259259259258</v>
      </c>
      <c r="F60" s="210"/>
      <c r="G60" s="222"/>
      <c r="H60" s="221"/>
      <c r="I60" s="235"/>
      <c r="J60" s="222"/>
      <c r="K60" s="228">
        <v>2.5</v>
      </c>
    </row>
    <row r="61" spans="1:11" ht="12" customHeight="1" x14ac:dyDescent="0.2">
      <c r="B61" s="292" t="s">
        <v>623</v>
      </c>
      <c r="C61" s="220" t="s">
        <v>641</v>
      </c>
      <c r="D61" s="228">
        <v>1</v>
      </c>
      <c r="E61" s="210">
        <v>275.91358024691357</v>
      </c>
      <c r="F61" s="210"/>
      <c r="G61" s="222"/>
      <c r="H61" s="221"/>
      <c r="I61" s="235"/>
      <c r="J61" s="222"/>
      <c r="K61" s="228">
        <v>2.5</v>
      </c>
    </row>
    <row r="62" spans="1:11" ht="12" customHeight="1" x14ac:dyDescent="0.2">
      <c r="B62" s="226">
        <v>2190092</v>
      </c>
      <c r="C62" s="220" t="s">
        <v>735</v>
      </c>
      <c r="D62" s="228">
        <v>1</v>
      </c>
      <c r="E62" s="235">
        <v>97.53086419753086</v>
      </c>
      <c r="F62" s="210"/>
      <c r="G62" s="222"/>
      <c r="H62" s="221"/>
      <c r="I62" s="235"/>
      <c r="J62" s="222"/>
      <c r="K62" s="228">
        <v>2.5</v>
      </c>
    </row>
    <row r="63" spans="1:11" ht="12" customHeight="1" x14ac:dyDescent="0.2">
      <c r="B63" s="296">
        <v>2190093</v>
      </c>
      <c r="C63" s="220" t="s">
        <v>736</v>
      </c>
      <c r="D63" s="228">
        <v>1</v>
      </c>
      <c r="E63" s="235">
        <v>154.32098765432099</v>
      </c>
      <c r="F63" s="210"/>
      <c r="G63" s="222"/>
      <c r="H63" s="221"/>
      <c r="I63" s="235"/>
      <c r="J63" s="222"/>
      <c r="K63" s="228">
        <v>2.5</v>
      </c>
    </row>
    <row r="64" spans="1:11" ht="12" customHeight="1" x14ac:dyDescent="0.2">
      <c r="B64" s="292" t="s">
        <v>721</v>
      </c>
      <c r="C64" s="220" t="s">
        <v>722</v>
      </c>
      <c r="D64" s="228">
        <v>1</v>
      </c>
      <c r="E64" s="235">
        <v>27.037037037037035</v>
      </c>
      <c r="F64" s="210"/>
      <c r="G64" s="222"/>
      <c r="H64" s="221"/>
      <c r="I64" s="235"/>
      <c r="J64" s="222"/>
      <c r="K64" s="228"/>
    </row>
    <row r="65" spans="1:12" ht="12" customHeight="1" x14ac:dyDescent="0.2">
      <c r="B65" s="219" t="s">
        <v>178</v>
      </c>
      <c r="C65" s="283" t="s">
        <v>178</v>
      </c>
      <c r="D65" s="220">
        <v>0</v>
      </c>
      <c r="E65" s="210">
        <v>0</v>
      </c>
      <c r="F65" s="210"/>
      <c r="G65" s="222"/>
      <c r="H65" s="221"/>
      <c r="I65" s="210"/>
      <c r="J65" s="222"/>
      <c r="K65" s="222"/>
    </row>
    <row r="66" spans="1:12" ht="12" customHeight="1" x14ac:dyDescent="0.2">
      <c r="B66" s="294">
        <v>9990112</v>
      </c>
      <c r="C66" s="220" t="s">
        <v>165</v>
      </c>
      <c r="D66" s="228">
        <v>1</v>
      </c>
      <c r="E66" s="235">
        <v>0</v>
      </c>
      <c r="F66" s="210"/>
      <c r="G66" s="222"/>
      <c r="H66" s="221"/>
      <c r="I66" s="235"/>
      <c r="J66" s="222"/>
      <c r="K66" s="222"/>
    </row>
    <row r="67" spans="1:12" ht="12" customHeight="1" x14ac:dyDescent="0.2">
      <c r="B67" s="294">
        <v>9990113</v>
      </c>
      <c r="C67" s="220" t="s">
        <v>166</v>
      </c>
      <c r="D67" s="228">
        <v>1</v>
      </c>
      <c r="E67" s="235">
        <v>0</v>
      </c>
      <c r="F67" s="210"/>
      <c r="G67" s="222"/>
      <c r="H67" s="221"/>
      <c r="I67" s="235"/>
      <c r="J67" s="222"/>
      <c r="K67" s="222"/>
    </row>
    <row r="68" spans="1:12" ht="12" customHeight="1" x14ac:dyDescent="0.2">
      <c r="B68" s="294">
        <v>4197924</v>
      </c>
      <c r="C68" s="220" t="s">
        <v>107</v>
      </c>
      <c r="D68" s="282" t="s">
        <v>205</v>
      </c>
      <c r="E68" s="235">
        <v>3.7037037037037033</v>
      </c>
      <c r="F68" s="210"/>
      <c r="G68" s="222"/>
      <c r="H68" s="221"/>
      <c r="I68" s="235"/>
      <c r="J68" s="222"/>
      <c r="K68" s="222"/>
    </row>
    <row r="69" spans="1:12" ht="12" customHeight="1" x14ac:dyDescent="0.2">
      <c r="A69" s="193" t="s">
        <v>766</v>
      </c>
      <c r="B69" s="294">
        <v>9840002</v>
      </c>
      <c r="C69" s="220" t="s">
        <v>164</v>
      </c>
      <c r="D69" s="297" t="s">
        <v>284</v>
      </c>
      <c r="E69" s="235">
        <v>6.1728395061728392E-2</v>
      </c>
      <c r="F69" s="210"/>
      <c r="G69" s="222"/>
      <c r="H69" s="221"/>
      <c r="I69" s="235"/>
      <c r="J69" s="222"/>
      <c r="K69" s="222"/>
    </row>
    <row r="70" spans="1:12" ht="12" customHeight="1" x14ac:dyDescent="0.2">
      <c r="A70" s="193" t="s">
        <v>765</v>
      </c>
      <c r="B70" s="294" t="s">
        <v>127</v>
      </c>
      <c r="C70" s="220" t="s">
        <v>394</v>
      </c>
      <c r="D70" s="297" t="s">
        <v>284</v>
      </c>
      <c r="E70" s="235">
        <v>2.4691358024691357E-2</v>
      </c>
      <c r="F70" s="210"/>
      <c r="G70" s="222"/>
      <c r="H70" s="221"/>
      <c r="I70" s="235"/>
      <c r="J70" s="222"/>
      <c r="K70" s="222"/>
    </row>
    <row r="71" spans="1:12" ht="12" customHeight="1" x14ac:dyDescent="0.2">
      <c r="A71" s="193" t="s">
        <v>769</v>
      </c>
      <c r="B71" s="298" t="s">
        <v>746</v>
      </c>
      <c r="C71" s="288" t="s">
        <v>768</v>
      </c>
      <c r="D71" s="228">
        <v>1</v>
      </c>
      <c r="E71" s="235">
        <v>0</v>
      </c>
      <c r="F71" s="210"/>
      <c r="G71" s="222"/>
      <c r="H71" s="221"/>
      <c r="I71" s="235"/>
      <c r="J71" s="222"/>
      <c r="K71" s="222"/>
    </row>
    <row r="72" spans="1:12" ht="12" customHeight="1" x14ac:dyDescent="0.2">
      <c r="A72" s="193" t="s">
        <v>770</v>
      </c>
      <c r="B72" s="298" t="s">
        <v>146</v>
      </c>
      <c r="C72" s="288" t="s">
        <v>767</v>
      </c>
      <c r="D72" s="228">
        <v>2</v>
      </c>
      <c r="E72" s="235">
        <v>8.6419753086419762E-2</v>
      </c>
      <c r="F72" s="210"/>
      <c r="G72" s="222"/>
      <c r="H72" s="221"/>
      <c r="I72" s="235"/>
      <c r="J72" s="222"/>
      <c r="K72" s="222"/>
    </row>
    <row r="73" spans="1:12" ht="12" customHeight="1" x14ac:dyDescent="0.2">
      <c r="A73" s="193" t="s">
        <v>770</v>
      </c>
      <c r="B73" s="298" t="s">
        <v>147</v>
      </c>
      <c r="C73" s="288" t="s">
        <v>148</v>
      </c>
      <c r="D73" s="228">
        <v>2</v>
      </c>
      <c r="E73" s="235">
        <v>2.4691358024691357E-2</v>
      </c>
      <c r="F73" s="210"/>
      <c r="G73" s="222"/>
      <c r="H73" s="221"/>
      <c r="I73" s="235"/>
      <c r="J73" s="222"/>
      <c r="K73" s="222"/>
    </row>
    <row r="74" spans="1:12" ht="12" customHeight="1" x14ac:dyDescent="0.2">
      <c r="B74" s="219" t="s">
        <v>701</v>
      </c>
      <c r="C74" s="279" t="s">
        <v>689</v>
      </c>
      <c r="D74" s="225">
        <v>1</v>
      </c>
      <c r="E74" s="210">
        <v>0</v>
      </c>
      <c r="F74" s="210"/>
      <c r="G74" s="222"/>
      <c r="H74" s="221"/>
      <c r="I74" s="210"/>
      <c r="J74" s="222"/>
      <c r="K74" s="280"/>
      <c r="L74" s="218"/>
    </row>
    <row r="75" spans="1:12" ht="12" customHeight="1" x14ac:dyDescent="0.2">
      <c r="B75" s="226"/>
      <c r="C75" s="220"/>
      <c r="D75" s="220"/>
      <c r="E75" s="220">
        <v>0</v>
      </c>
      <c r="F75" s="210"/>
      <c r="G75" s="222"/>
      <c r="H75" s="221"/>
      <c r="I75" s="210"/>
      <c r="J75" s="222"/>
      <c r="K75" s="222"/>
    </row>
    <row r="76" spans="1:12" ht="12" customHeight="1" x14ac:dyDescent="0.2">
      <c r="B76" s="226"/>
      <c r="C76" s="234" t="s">
        <v>285</v>
      </c>
      <c r="D76" s="220"/>
      <c r="E76" s="220">
        <v>0</v>
      </c>
      <c r="F76" s="210"/>
      <c r="G76" s="222"/>
      <c r="H76" s="221"/>
      <c r="I76" s="210"/>
      <c r="J76" s="222"/>
      <c r="K76" s="222"/>
    </row>
    <row r="77" spans="1:12" ht="12" customHeight="1" x14ac:dyDescent="0.2">
      <c r="B77" s="219" t="s">
        <v>178</v>
      </c>
      <c r="C77" s="299" t="s">
        <v>178</v>
      </c>
      <c r="D77" s="220">
        <v>0</v>
      </c>
      <c r="E77" s="210">
        <v>0</v>
      </c>
      <c r="F77" s="210"/>
      <c r="G77" s="222"/>
      <c r="H77" s="221"/>
      <c r="I77" s="210"/>
      <c r="J77" s="222"/>
      <c r="K77" s="222"/>
    </row>
    <row r="78" spans="1:12" ht="12" customHeight="1" x14ac:dyDescent="0.2">
      <c r="B78" s="291" t="s">
        <v>94</v>
      </c>
      <c r="C78" s="220" t="s">
        <v>95</v>
      </c>
      <c r="D78" s="228">
        <v>1</v>
      </c>
      <c r="E78" s="235">
        <v>39.382716049382715</v>
      </c>
      <c r="F78" s="210"/>
      <c r="G78" s="222"/>
      <c r="H78" s="221"/>
      <c r="I78" s="210"/>
      <c r="J78" s="222"/>
      <c r="K78" s="222"/>
    </row>
    <row r="79" spans="1:12" ht="12" customHeight="1" x14ac:dyDescent="0.2">
      <c r="B79" s="291" t="s">
        <v>321</v>
      </c>
      <c r="C79" s="220" t="s">
        <v>331</v>
      </c>
      <c r="D79" s="228">
        <v>1</v>
      </c>
      <c r="E79" s="235">
        <v>66.049382716049379</v>
      </c>
      <c r="F79" s="210"/>
      <c r="G79" s="222"/>
      <c r="H79" s="221"/>
      <c r="I79" s="210"/>
      <c r="J79" s="222"/>
      <c r="K79" s="222"/>
    </row>
    <row r="80" spans="1:12" ht="12" customHeight="1" x14ac:dyDescent="0.2">
      <c r="B80" s="291" t="s">
        <v>155</v>
      </c>
      <c r="C80" s="220" t="s">
        <v>156</v>
      </c>
      <c r="D80" s="228">
        <v>1</v>
      </c>
      <c r="E80" s="235">
        <v>46.913580246913575</v>
      </c>
      <c r="F80" s="210"/>
      <c r="G80" s="222"/>
      <c r="H80" s="221"/>
      <c r="I80" s="210"/>
      <c r="J80" s="222"/>
      <c r="K80" s="222"/>
    </row>
    <row r="81" spans="1:12" ht="12" customHeight="1" x14ac:dyDescent="0.2">
      <c r="B81" s="294">
        <v>3810016</v>
      </c>
      <c r="C81" s="220" t="s">
        <v>104</v>
      </c>
      <c r="D81" s="228">
        <v>1</v>
      </c>
      <c r="E81" s="235">
        <v>0.48114814814814816</v>
      </c>
      <c r="F81" s="210"/>
      <c r="G81" s="222"/>
      <c r="H81" s="221"/>
      <c r="I81" s="210"/>
      <c r="J81" s="222"/>
      <c r="K81" s="222"/>
    </row>
    <row r="82" spans="1:12" ht="12" customHeight="1" x14ac:dyDescent="0.2">
      <c r="B82" s="294" t="s">
        <v>127</v>
      </c>
      <c r="C82" s="220" t="s">
        <v>394</v>
      </c>
      <c r="D82" s="228">
        <v>4</v>
      </c>
      <c r="E82" s="235">
        <v>2.4691358024691357E-2</v>
      </c>
      <c r="F82" s="210"/>
      <c r="G82" s="222"/>
      <c r="H82" s="221"/>
      <c r="I82" s="210"/>
      <c r="J82" s="222"/>
      <c r="K82" s="222"/>
    </row>
    <row r="83" spans="1:12" ht="12" customHeight="1" x14ac:dyDescent="0.2">
      <c r="B83" s="226"/>
      <c r="C83" s="220"/>
      <c r="D83" s="220"/>
      <c r="E83" s="220">
        <v>0</v>
      </c>
      <c r="F83" s="210"/>
      <c r="G83" s="222"/>
      <c r="I83" s="210"/>
      <c r="J83" s="222"/>
      <c r="K83" s="222"/>
    </row>
    <row r="84" spans="1:12" ht="12" customHeight="1" x14ac:dyDescent="0.2">
      <c r="B84" s="226"/>
      <c r="C84" s="213" t="s">
        <v>192</v>
      </c>
      <c r="D84" s="220"/>
      <c r="E84" s="220">
        <v>0</v>
      </c>
      <c r="F84" s="210"/>
      <c r="G84" s="222"/>
      <c r="I84" s="210"/>
      <c r="J84" s="222"/>
      <c r="K84" s="222"/>
    </row>
    <row r="85" spans="1:12" ht="12" customHeight="1" x14ac:dyDescent="0.2">
      <c r="B85" s="291" t="s">
        <v>178</v>
      </c>
      <c r="C85" s="220" t="s">
        <v>178</v>
      </c>
      <c r="D85" s="220">
        <v>0</v>
      </c>
      <c r="E85" s="220">
        <v>0</v>
      </c>
      <c r="F85" s="210"/>
      <c r="G85" s="222"/>
      <c r="I85" s="210"/>
      <c r="J85" s="222"/>
      <c r="K85" s="222"/>
    </row>
    <row r="86" spans="1:12" ht="12" customHeight="1" x14ac:dyDescent="0.2">
      <c r="B86" s="291" t="s">
        <v>717</v>
      </c>
      <c r="C86" s="220" t="s">
        <v>718</v>
      </c>
      <c r="D86" s="220">
        <v>1</v>
      </c>
      <c r="E86" s="235">
        <v>270.44444444444446</v>
      </c>
      <c r="F86" s="210"/>
      <c r="G86" s="222"/>
      <c r="H86" s="221"/>
      <c r="I86" s="210"/>
      <c r="J86" s="222"/>
      <c r="K86" s="222" t="s">
        <v>740</v>
      </c>
      <c r="L86" s="193" t="s">
        <v>741</v>
      </c>
    </row>
    <row r="87" spans="1:12" ht="12" customHeight="1" x14ac:dyDescent="0.2">
      <c r="B87" s="291" t="s">
        <v>178</v>
      </c>
      <c r="C87" s="220" t="s">
        <v>178</v>
      </c>
      <c r="D87" s="220">
        <v>0</v>
      </c>
      <c r="E87" s="235">
        <v>0</v>
      </c>
      <c r="F87" s="210"/>
      <c r="G87" s="222"/>
      <c r="I87" s="210"/>
      <c r="J87" s="222"/>
      <c r="K87" s="222"/>
    </row>
    <row r="88" spans="1:12" ht="12" customHeight="1" x14ac:dyDescent="0.2">
      <c r="B88" s="291" t="s">
        <v>174</v>
      </c>
      <c r="C88" s="220" t="s">
        <v>233</v>
      </c>
      <c r="D88" s="220">
        <v>1</v>
      </c>
      <c r="E88" s="235">
        <v>148.27160493827159</v>
      </c>
      <c r="F88" s="210"/>
      <c r="G88" s="222"/>
      <c r="H88" s="221"/>
      <c r="I88" s="210"/>
      <c r="J88" s="222"/>
      <c r="K88" s="222" t="s">
        <v>305</v>
      </c>
      <c r="L88" s="193" t="s">
        <v>741</v>
      </c>
    </row>
    <row r="89" spans="1:12" ht="12" customHeight="1" x14ac:dyDescent="0.2">
      <c r="B89" s="291" t="s">
        <v>178</v>
      </c>
      <c r="C89" s="220" t="s">
        <v>178</v>
      </c>
      <c r="D89" s="220">
        <v>0</v>
      </c>
      <c r="E89" s="235">
        <v>0</v>
      </c>
      <c r="F89" s="210"/>
      <c r="G89" s="222"/>
      <c r="I89" s="210"/>
      <c r="J89" s="222"/>
      <c r="K89" s="222"/>
    </row>
    <row r="90" spans="1:12" ht="12" customHeight="1" x14ac:dyDescent="0.2">
      <c r="B90" s="291" t="s">
        <v>96</v>
      </c>
      <c r="C90" s="220" t="s">
        <v>97</v>
      </c>
      <c r="D90" s="220">
        <v>1</v>
      </c>
      <c r="E90" s="235">
        <v>0</v>
      </c>
      <c r="F90" s="210"/>
      <c r="G90" s="222"/>
      <c r="H90" s="221"/>
      <c r="I90" s="210"/>
      <c r="J90" s="222"/>
      <c r="K90" s="222" t="s">
        <v>303</v>
      </c>
    </row>
    <row r="91" spans="1:12" ht="12" customHeight="1" x14ac:dyDescent="0.2">
      <c r="B91" s="291" t="s">
        <v>100</v>
      </c>
      <c r="C91" s="220" t="s">
        <v>101</v>
      </c>
      <c r="D91" s="220">
        <v>1</v>
      </c>
      <c r="E91" s="235">
        <v>32.592592592592588</v>
      </c>
      <c r="F91" s="210"/>
      <c r="G91" s="222"/>
      <c r="H91" s="221"/>
      <c r="I91" s="210"/>
      <c r="J91" s="222"/>
      <c r="K91" s="222" t="s">
        <v>303</v>
      </c>
    </row>
    <row r="92" spans="1:12" ht="12" customHeight="1" x14ac:dyDescent="0.2">
      <c r="B92" s="300" t="s">
        <v>280</v>
      </c>
      <c r="C92" s="220" t="s">
        <v>281</v>
      </c>
      <c r="D92" s="220">
        <v>1</v>
      </c>
      <c r="E92" s="235">
        <v>71.851851851851848</v>
      </c>
      <c r="F92" s="210"/>
      <c r="G92" s="222"/>
      <c r="H92" s="221"/>
      <c r="I92" s="210"/>
      <c r="J92" s="222"/>
      <c r="K92" s="222" t="s">
        <v>303</v>
      </c>
    </row>
    <row r="93" spans="1:12" ht="12" customHeight="1" x14ac:dyDescent="0.2">
      <c r="B93" s="226"/>
      <c r="C93" s="220"/>
      <c r="D93" s="220"/>
      <c r="E93" s="220">
        <v>0</v>
      </c>
      <c r="F93" s="210"/>
      <c r="G93" s="222"/>
      <c r="I93" s="210"/>
      <c r="J93" s="222"/>
      <c r="K93" s="222"/>
    </row>
    <row r="94" spans="1:12" ht="12" customHeight="1" x14ac:dyDescent="0.2">
      <c r="B94" s="226"/>
      <c r="C94" s="234" t="s">
        <v>67</v>
      </c>
      <c r="D94" s="220"/>
      <c r="E94" s="220">
        <v>0</v>
      </c>
      <c r="F94" s="210"/>
      <c r="G94" s="222"/>
      <c r="I94" s="210"/>
      <c r="J94" s="222"/>
      <c r="K94" s="222"/>
    </row>
    <row r="95" spans="1:12" ht="12" customHeight="1" x14ac:dyDescent="0.2">
      <c r="A95" s="248"/>
      <c r="B95" s="219"/>
      <c r="C95" s="299" t="s">
        <v>178</v>
      </c>
      <c r="D95" s="220"/>
      <c r="E95" s="220">
        <v>0</v>
      </c>
      <c r="F95" s="210"/>
      <c r="G95" s="222"/>
      <c r="I95" s="210"/>
      <c r="J95" s="222"/>
      <c r="K95" s="222"/>
    </row>
    <row r="96" spans="1:12" ht="12" customHeight="1" x14ac:dyDescent="0.2">
      <c r="A96" s="248">
        <v>1</v>
      </c>
      <c r="B96" s="291" t="s">
        <v>78</v>
      </c>
      <c r="C96" s="220" t="s">
        <v>3</v>
      </c>
      <c r="D96" s="220"/>
      <c r="E96" s="235">
        <v>12.345679012345679</v>
      </c>
      <c r="F96" s="210"/>
      <c r="G96" s="222"/>
      <c r="H96" s="221"/>
      <c r="I96" s="210"/>
      <c r="J96" s="222"/>
      <c r="K96" s="222"/>
    </row>
    <row r="97" spans="1:13" ht="12" customHeight="1" x14ac:dyDescent="0.2">
      <c r="A97" s="248">
        <v>2</v>
      </c>
      <c r="B97" s="291" t="s">
        <v>135</v>
      </c>
      <c r="C97" s="220" t="s">
        <v>427</v>
      </c>
      <c r="D97" s="220"/>
      <c r="E97" s="235">
        <v>19.493827160493826</v>
      </c>
      <c r="F97" s="210"/>
      <c r="G97" s="222"/>
      <c r="H97" s="221"/>
      <c r="I97" s="210"/>
      <c r="J97" s="222"/>
      <c r="K97" s="222"/>
    </row>
    <row r="98" spans="1:13" ht="12" customHeight="1" x14ac:dyDescent="0.2">
      <c r="A98" s="248"/>
      <c r="B98" s="219"/>
      <c r="C98" s="273" t="s">
        <v>67</v>
      </c>
      <c r="D98" s="220"/>
      <c r="E98" s="235">
        <v>0</v>
      </c>
      <c r="F98" s="210"/>
      <c r="G98" s="222"/>
      <c r="H98" s="221"/>
      <c r="I98" s="210"/>
      <c r="J98" s="222"/>
      <c r="K98" s="222"/>
    </row>
    <row r="99" spans="1:13" ht="12" customHeight="1" x14ac:dyDescent="0.2">
      <c r="A99" s="248"/>
      <c r="B99" s="291" t="s">
        <v>133</v>
      </c>
      <c r="C99" s="220" t="s">
        <v>134</v>
      </c>
      <c r="D99" s="220"/>
      <c r="E99" s="235">
        <v>13.135802469135802</v>
      </c>
      <c r="F99" s="210"/>
      <c r="G99" s="222"/>
      <c r="H99" s="221"/>
      <c r="I99" s="210"/>
      <c r="J99" s="222"/>
      <c r="K99" s="222"/>
    </row>
    <row r="100" spans="1:13" ht="12" customHeight="1" x14ac:dyDescent="0.2">
      <c r="A100" s="248"/>
      <c r="B100" s="294">
        <v>6002000</v>
      </c>
      <c r="C100" s="220" t="s">
        <v>112</v>
      </c>
      <c r="D100" s="220"/>
      <c r="E100" s="235">
        <v>3.4938271604938271</v>
      </c>
      <c r="F100" s="210"/>
      <c r="G100" s="222"/>
      <c r="H100" s="221"/>
      <c r="I100" s="210"/>
      <c r="J100" s="222"/>
      <c r="K100" s="222"/>
    </row>
    <row r="101" spans="1:13" ht="12" customHeight="1" x14ac:dyDescent="0.2">
      <c r="A101" s="248"/>
      <c r="B101" s="291" t="s">
        <v>136</v>
      </c>
      <c r="C101" s="220" t="s">
        <v>137</v>
      </c>
      <c r="D101" s="220"/>
      <c r="E101" s="235">
        <v>11.925925925925926</v>
      </c>
      <c r="F101" s="210"/>
      <c r="G101" s="222"/>
      <c r="H101" s="221"/>
      <c r="I101" s="210"/>
      <c r="J101" s="229"/>
      <c r="K101" s="229"/>
      <c r="L101" s="248"/>
      <c r="M101" s="248"/>
    </row>
    <row r="102" spans="1:13" ht="12" customHeight="1" x14ac:dyDescent="0.2">
      <c r="A102" s="248"/>
      <c r="B102" s="219"/>
      <c r="C102" s="220"/>
      <c r="D102" s="220"/>
      <c r="E102" s="210">
        <v>0</v>
      </c>
      <c r="F102" s="210"/>
      <c r="G102" s="222"/>
      <c r="I102" s="210"/>
      <c r="J102" s="229"/>
      <c r="K102" s="229"/>
      <c r="L102" s="248"/>
      <c r="M102" s="248"/>
    </row>
    <row r="103" spans="1:13" s="304" customFormat="1" ht="12" customHeight="1" x14ac:dyDescent="0.2">
      <c r="A103" s="248" t="s">
        <v>256</v>
      </c>
      <c r="B103" s="301"/>
      <c r="C103" s="302" t="s">
        <v>199</v>
      </c>
      <c r="D103" s="303"/>
      <c r="E103" s="266">
        <v>0</v>
      </c>
      <c r="F103" s="266"/>
      <c r="G103" s="222"/>
      <c r="H103" s="244"/>
      <c r="I103" s="266"/>
      <c r="J103" s="229"/>
      <c r="K103" s="229"/>
      <c r="L103" s="248"/>
      <c r="M103" s="248"/>
    </row>
    <row r="104" spans="1:13" s="304" customFormat="1" ht="12" customHeight="1" x14ac:dyDescent="0.2">
      <c r="A104" s="248" t="s">
        <v>257</v>
      </c>
      <c r="B104" s="301">
        <v>2686106</v>
      </c>
      <c r="C104" s="303" t="s">
        <v>37</v>
      </c>
      <c r="D104" s="303">
        <v>1</v>
      </c>
      <c r="E104" s="266">
        <v>5.5555555555555554</v>
      </c>
      <c r="F104" s="266"/>
      <c r="G104" s="222"/>
      <c r="H104" s="221"/>
      <c r="I104" s="210"/>
      <c r="J104" s="229"/>
      <c r="K104" s="229"/>
      <c r="L104" s="248"/>
      <c r="M104" s="248"/>
    </row>
    <row r="105" spans="1:13" s="304" customFormat="1" ht="12" customHeight="1" x14ac:dyDescent="0.2">
      <c r="A105" s="248"/>
      <c r="B105" s="305">
        <v>2680107</v>
      </c>
      <c r="C105" s="303" t="s">
        <v>87</v>
      </c>
      <c r="D105" s="303">
        <v>1</v>
      </c>
      <c r="E105" s="266">
        <v>6.1728395061728394</v>
      </c>
      <c r="F105" s="266"/>
      <c r="G105" s="222"/>
      <c r="H105" s="221"/>
      <c r="I105" s="210"/>
      <c r="J105" s="229"/>
      <c r="K105" s="229"/>
      <c r="L105" s="248"/>
      <c r="M105" s="248"/>
    </row>
    <row r="106" spans="1:13" s="304" customFormat="1" ht="12" customHeight="1" x14ac:dyDescent="0.2">
      <c r="A106" s="248"/>
      <c r="B106" s="301"/>
      <c r="C106" s="303"/>
      <c r="D106" s="306"/>
      <c r="E106" s="266">
        <v>0</v>
      </c>
      <c r="F106" s="266"/>
      <c r="G106" s="222"/>
      <c r="H106" s="244"/>
      <c r="I106" s="266"/>
      <c r="J106" s="229"/>
      <c r="K106" s="229"/>
      <c r="L106" s="248"/>
      <c r="M106" s="248"/>
    </row>
    <row r="107" spans="1:13" ht="12" customHeight="1" x14ac:dyDescent="0.2">
      <c r="A107" s="248"/>
      <c r="B107" s="219"/>
      <c r="C107" s="234" t="s">
        <v>180</v>
      </c>
      <c r="D107" s="220"/>
      <c r="E107" s="220">
        <v>0</v>
      </c>
      <c r="F107" s="210"/>
      <c r="G107" s="222"/>
      <c r="I107" s="210"/>
      <c r="J107" s="229"/>
      <c r="K107" s="229"/>
      <c r="L107" s="248"/>
      <c r="M107" s="248"/>
    </row>
    <row r="108" spans="1:13" ht="12" customHeight="1" x14ac:dyDescent="0.2">
      <c r="A108" s="248"/>
      <c r="B108" s="305" t="s">
        <v>178</v>
      </c>
      <c r="C108" s="303" t="s">
        <v>178</v>
      </c>
      <c r="D108" s="220">
        <v>0</v>
      </c>
      <c r="E108" s="210">
        <v>0</v>
      </c>
      <c r="F108" s="210"/>
      <c r="G108" s="222"/>
      <c r="H108" s="221"/>
      <c r="I108" s="210"/>
      <c r="J108" s="229"/>
      <c r="K108" s="248">
        <v>0</v>
      </c>
      <c r="L108" s="248"/>
      <c r="M108" s="248"/>
    </row>
    <row r="109" spans="1:13" ht="12" customHeight="1" x14ac:dyDescent="0.2">
      <c r="B109" s="305">
        <v>9990544</v>
      </c>
      <c r="C109" s="303" t="s">
        <v>251</v>
      </c>
      <c r="D109" s="220">
        <v>1</v>
      </c>
      <c r="E109" s="210">
        <v>0</v>
      </c>
      <c r="F109" s="210"/>
      <c r="G109" s="222"/>
      <c r="H109" s="221"/>
      <c r="I109" s="210"/>
      <c r="J109" s="222"/>
      <c r="K109" s="193">
        <v>10</v>
      </c>
    </row>
    <row r="110" spans="1:13" ht="12" customHeight="1" x14ac:dyDescent="0.2">
      <c r="B110" s="305">
        <v>6506327</v>
      </c>
      <c r="C110" s="303" t="s">
        <v>335</v>
      </c>
      <c r="D110" s="220">
        <v>1</v>
      </c>
      <c r="E110" s="210">
        <v>123.45679012345678</v>
      </c>
      <c r="F110" s="210"/>
      <c r="G110" s="222"/>
      <c r="H110" s="221"/>
      <c r="I110" s="210"/>
      <c r="J110" s="222"/>
      <c r="K110" s="222"/>
    </row>
    <row r="111" spans="1:13" ht="12" customHeight="1" x14ac:dyDescent="0.2">
      <c r="B111" s="305" t="s">
        <v>153</v>
      </c>
      <c r="C111" s="303" t="s">
        <v>154</v>
      </c>
      <c r="D111" s="220">
        <v>1</v>
      </c>
      <c r="E111" s="210">
        <v>0</v>
      </c>
      <c r="F111" s="210"/>
      <c r="G111" s="222"/>
      <c r="H111" s="221"/>
      <c r="I111" s="210"/>
      <c r="J111" s="222"/>
      <c r="K111" s="222"/>
    </row>
    <row r="112" spans="1:13" ht="12" customHeight="1" x14ac:dyDescent="0.2">
      <c r="B112" s="305"/>
      <c r="C112" s="303"/>
      <c r="D112" s="220"/>
      <c r="E112" s="210">
        <v>0</v>
      </c>
      <c r="F112" s="210"/>
      <c r="G112" s="222"/>
      <c r="H112" s="221"/>
      <c r="I112" s="210"/>
      <c r="J112" s="222"/>
      <c r="K112" s="222"/>
    </row>
    <row r="113" spans="2:11" ht="12" customHeight="1" x14ac:dyDescent="0.2">
      <c r="B113" s="305"/>
      <c r="C113" s="307" t="s">
        <v>397</v>
      </c>
      <c r="D113" s="220"/>
      <c r="E113" s="210">
        <v>0</v>
      </c>
      <c r="F113" s="210"/>
      <c r="G113" s="222"/>
      <c r="H113" s="221"/>
      <c r="I113" s="210"/>
      <c r="J113" s="222"/>
      <c r="K113" s="222"/>
    </row>
    <row r="114" spans="2:11" ht="12" customHeight="1" x14ac:dyDescent="0.2">
      <c r="B114" s="305" t="s">
        <v>738</v>
      </c>
      <c r="C114" s="303" t="s">
        <v>739</v>
      </c>
      <c r="D114" s="220">
        <v>1</v>
      </c>
      <c r="E114" s="210">
        <v>0</v>
      </c>
      <c r="F114" s="210"/>
      <c r="G114" s="222"/>
      <c r="H114" s="221"/>
      <c r="I114" s="210"/>
      <c r="J114" s="222"/>
      <c r="K114" s="222"/>
    </row>
    <row r="115" spans="2:11" ht="12" customHeight="1" x14ac:dyDescent="0.2">
      <c r="B115" s="305"/>
      <c r="C115" s="303"/>
      <c r="D115" s="220"/>
      <c r="E115" s="210"/>
      <c r="F115" s="210"/>
      <c r="G115" s="222"/>
      <c r="H115" s="221"/>
      <c r="I115" s="210"/>
      <c r="J115" s="222"/>
      <c r="K115" s="222"/>
    </row>
    <row r="116" spans="2:11" ht="12" customHeight="1" x14ac:dyDescent="0.2">
      <c r="B116" s="305"/>
      <c r="C116" s="307" t="s">
        <v>2</v>
      </c>
      <c r="D116" s="220"/>
      <c r="E116" s="210"/>
      <c r="F116" s="210"/>
      <c r="G116" s="222"/>
      <c r="H116" s="221"/>
      <c r="I116" s="210"/>
      <c r="J116" s="222"/>
      <c r="K116" s="222"/>
    </row>
    <row r="117" spans="2:11" ht="12" customHeight="1" x14ac:dyDescent="0.2">
      <c r="B117" s="305">
        <v>136</v>
      </c>
      <c r="C117" s="303" t="s">
        <v>79</v>
      </c>
      <c r="D117" s="220">
        <v>1</v>
      </c>
      <c r="E117" s="210">
        <v>0</v>
      </c>
      <c r="F117" s="210"/>
      <c r="G117" s="222"/>
      <c r="H117" s="221"/>
      <c r="I117" s="210"/>
      <c r="J117" s="222"/>
      <c r="K117" s="222"/>
    </row>
    <row r="118" spans="2:11" ht="12" customHeight="1" x14ac:dyDescent="0.2">
      <c r="B118" s="305">
        <v>148</v>
      </c>
      <c r="C118" s="303" t="s">
        <v>80</v>
      </c>
      <c r="D118" s="220">
        <v>1</v>
      </c>
      <c r="E118" s="210">
        <v>0.05</v>
      </c>
      <c r="F118" s="210"/>
      <c r="G118" s="222"/>
      <c r="H118" s="221"/>
      <c r="I118" s="210"/>
      <c r="J118" s="222"/>
      <c r="K118" s="222"/>
    </row>
    <row r="119" spans="2:11" ht="12" customHeight="1" x14ac:dyDescent="0.2">
      <c r="B119" s="305">
        <v>160</v>
      </c>
      <c r="C119" s="303" t="s">
        <v>81</v>
      </c>
      <c r="D119" s="220">
        <v>1</v>
      </c>
      <c r="E119" s="210">
        <v>0.10249999999999999</v>
      </c>
      <c r="F119" s="210"/>
      <c r="G119" s="222"/>
      <c r="H119" s="221"/>
      <c r="I119" s="210"/>
      <c r="J119" s="222"/>
      <c r="K119" s="222"/>
    </row>
    <row r="120" spans="2:11" ht="12" customHeight="1" x14ac:dyDescent="0.2">
      <c r="B120" s="305" t="s">
        <v>24</v>
      </c>
      <c r="C120" s="303" t="s">
        <v>106</v>
      </c>
      <c r="D120" s="220">
        <v>1</v>
      </c>
      <c r="E120" s="210">
        <v>0.02</v>
      </c>
      <c r="F120" s="210"/>
      <c r="G120" s="222"/>
      <c r="H120" s="221"/>
      <c r="I120" s="210"/>
      <c r="J120" s="222"/>
      <c r="K120" s="222"/>
    </row>
    <row r="121" spans="2:11" ht="12" customHeight="1" x14ac:dyDescent="0.2">
      <c r="B121" s="305" t="s">
        <v>25</v>
      </c>
      <c r="C121" s="303" t="s">
        <v>32</v>
      </c>
      <c r="D121" s="220">
        <v>1</v>
      </c>
      <c r="E121" s="210">
        <v>0.10299999999999999</v>
      </c>
      <c r="F121" s="210"/>
      <c r="G121" s="222"/>
      <c r="H121" s="221"/>
      <c r="I121" s="210"/>
      <c r="J121" s="222"/>
      <c r="K121" s="222"/>
    </row>
    <row r="122" spans="2:11" ht="12" customHeight="1" x14ac:dyDescent="0.2">
      <c r="B122" s="305" t="s">
        <v>26</v>
      </c>
      <c r="C122" s="303" t="s">
        <v>172</v>
      </c>
      <c r="D122" s="220">
        <v>1</v>
      </c>
      <c r="E122" s="210">
        <v>0.193</v>
      </c>
      <c r="F122" s="210"/>
      <c r="G122" s="222"/>
      <c r="H122" s="221"/>
      <c r="I122" s="210"/>
      <c r="J122" s="222"/>
      <c r="K122" s="222"/>
    </row>
    <row r="123" spans="2:11" ht="12" customHeight="1" x14ac:dyDescent="0.2">
      <c r="B123" s="305" t="s">
        <v>27</v>
      </c>
      <c r="C123" s="303" t="s">
        <v>30</v>
      </c>
      <c r="D123" s="220">
        <v>1</v>
      </c>
      <c r="E123" s="210">
        <v>0.14419999999999999</v>
      </c>
      <c r="F123" s="210"/>
      <c r="G123" s="222"/>
      <c r="H123" s="221"/>
      <c r="I123" s="210"/>
      <c r="J123" s="222"/>
      <c r="K123" s="222"/>
    </row>
    <row r="124" spans="2:11" ht="12" customHeight="1" x14ac:dyDescent="0.2">
      <c r="B124" s="305" t="s">
        <v>28</v>
      </c>
      <c r="C124" s="303" t="s">
        <v>31</v>
      </c>
      <c r="D124" s="220">
        <v>1</v>
      </c>
      <c r="E124" s="210">
        <v>0.27250000000000002</v>
      </c>
      <c r="F124" s="210"/>
      <c r="G124" s="222"/>
      <c r="H124" s="221"/>
      <c r="I124" s="210"/>
      <c r="J124" s="222"/>
      <c r="K124" s="222"/>
    </row>
    <row r="125" spans="2:11" ht="12" customHeight="1" x14ac:dyDescent="0.2">
      <c r="B125" s="305" t="s">
        <v>190</v>
      </c>
      <c r="C125" s="303" t="s">
        <v>191</v>
      </c>
      <c r="D125" s="220">
        <v>1</v>
      </c>
      <c r="E125" s="210">
        <v>0.41799999999999998</v>
      </c>
      <c r="F125" s="210"/>
      <c r="G125" s="222"/>
      <c r="H125" s="221"/>
      <c r="I125" s="210"/>
      <c r="J125" s="222"/>
      <c r="K125" s="222"/>
    </row>
    <row r="126" spans="2:11" ht="12" customHeight="1" x14ac:dyDescent="0.2">
      <c r="B126" s="241"/>
      <c r="C126" s="238"/>
      <c r="D126" s="238"/>
      <c r="E126" s="238"/>
      <c r="F126" s="238"/>
      <c r="G126" s="238"/>
      <c r="I126" s="238"/>
      <c r="J126" s="238"/>
      <c r="K126" s="238"/>
    </row>
    <row r="127" spans="2:11" ht="12" customHeight="1" x14ac:dyDescent="0.2">
      <c r="B127" s="241"/>
      <c r="C127" s="238"/>
      <c r="D127" s="238"/>
      <c r="E127" s="238"/>
      <c r="F127" s="238"/>
      <c r="G127" s="238"/>
      <c r="I127" s="238"/>
      <c r="J127" s="238"/>
      <c r="K127" s="238"/>
    </row>
    <row r="128" spans="2:11" ht="12" customHeight="1" x14ac:dyDescent="0.2">
      <c r="B128" s="241"/>
      <c r="C128" s="238"/>
      <c r="D128" s="238"/>
      <c r="E128" s="238"/>
      <c r="F128" s="238"/>
      <c r="G128" s="238"/>
      <c r="I128" s="238"/>
      <c r="J128" s="238"/>
      <c r="K128" s="238"/>
    </row>
    <row r="129" spans="2:11" ht="12" customHeight="1" x14ac:dyDescent="0.2">
      <c r="B129" s="241"/>
      <c r="C129" s="238"/>
      <c r="D129" s="238"/>
      <c r="E129" s="238"/>
      <c r="F129" s="238"/>
      <c r="G129" s="238"/>
      <c r="I129" s="238"/>
      <c r="J129" s="238"/>
      <c r="K129" s="238"/>
    </row>
    <row r="130" spans="2:11" ht="12" customHeight="1" x14ac:dyDescent="0.2">
      <c r="B130" s="241"/>
      <c r="C130" s="238"/>
      <c r="D130" s="238"/>
      <c r="E130" s="238"/>
      <c r="F130" s="238"/>
      <c r="G130" s="238"/>
      <c r="I130" s="238"/>
      <c r="J130" s="238"/>
      <c r="K130" s="238"/>
    </row>
    <row r="131" spans="2:11" ht="12" customHeight="1" x14ac:dyDescent="0.2">
      <c r="B131" s="241"/>
      <c r="C131" s="238"/>
      <c r="D131" s="238"/>
      <c r="E131" s="238"/>
      <c r="F131" s="238"/>
      <c r="G131" s="238"/>
      <c r="I131" s="238"/>
      <c r="J131" s="238"/>
      <c r="K131" s="238"/>
    </row>
    <row r="132" spans="2:11" ht="12" customHeight="1" x14ac:dyDescent="0.2"/>
    <row r="133" spans="2:11" ht="12" customHeight="1" x14ac:dyDescent="0.2"/>
    <row r="134" spans="2:11" ht="12" customHeight="1" x14ac:dyDescent="0.2"/>
    <row r="135" spans="2:11" ht="12" customHeight="1" x14ac:dyDescent="0.2"/>
    <row r="136" spans="2:11" ht="12" customHeight="1" x14ac:dyDescent="0.2"/>
    <row r="137" spans="2:11" ht="12" customHeight="1" x14ac:dyDescent="0.2"/>
    <row r="138" spans="2:11" ht="12" customHeight="1" x14ac:dyDescent="0.2"/>
    <row r="139" spans="2:11" ht="12" customHeight="1" x14ac:dyDescent="0.2"/>
    <row r="140" spans="2:11" ht="12" customHeight="1" x14ac:dyDescent="0.2"/>
    <row r="141" spans="2:11" ht="12" customHeight="1" x14ac:dyDescent="0.2"/>
    <row r="142" spans="2:11" ht="12" customHeight="1" x14ac:dyDescent="0.2"/>
    <row r="143" spans="2:11" ht="12" customHeight="1" x14ac:dyDescent="0.2"/>
    <row r="144" spans="2:11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</sheetData>
  <sheetProtection algorithmName="SHA-512" hashValue="ymJEXcqP4Uzc4EAjoLTUQ/Es1rakjSZD999FAmPE9RfhYIyukatuPmG61zXpHRx4JnJzm4tRyDXZDcIxgzYwQQ==" saltValue="d7hEP0HvakI3iKh0aaY3AQ==" spinCount="100000" sheet="1" objects="1" scenarios="1" selectLockedCells="1"/>
  <conditionalFormatting sqref="H1:H2 H126:H1048576 H4 H53:H55 H83:H85 H87 H102:H103 H89:H95 H6:H41 H106:H115 H65:H73 H57:H63 H75:H76">
    <cfRule type="cellIs" dxfId="258" priority="41" operator="lessThan">
      <formula>-0.04</formula>
    </cfRule>
    <cfRule type="cellIs" dxfId="257" priority="42" operator="greaterThan">
      <formula>0.04</formula>
    </cfRule>
  </conditionalFormatting>
  <conditionalFormatting sqref="H116">
    <cfRule type="cellIs" dxfId="256" priority="33" operator="lessThan">
      <formula>-0.04</formula>
    </cfRule>
    <cfRule type="cellIs" dxfId="255" priority="34" operator="greaterThan">
      <formula>0.04</formula>
    </cfRule>
  </conditionalFormatting>
  <conditionalFormatting sqref="H5">
    <cfRule type="cellIs" dxfId="254" priority="31" operator="lessThan">
      <formula>-0.04</formula>
    </cfRule>
    <cfRule type="cellIs" dxfId="253" priority="32" operator="greaterThan">
      <formula>0.04</formula>
    </cfRule>
  </conditionalFormatting>
  <conditionalFormatting sqref="H42:H52">
    <cfRule type="cellIs" dxfId="252" priority="27" operator="lessThan">
      <formula>-0.04</formula>
    </cfRule>
    <cfRule type="cellIs" dxfId="251" priority="28" operator="greaterThan">
      <formula>0.04</formula>
    </cfRule>
  </conditionalFormatting>
  <conditionalFormatting sqref="H104:H105 H96:H101 H88 H86 H77:H82">
    <cfRule type="cellIs" dxfId="250" priority="23" operator="lessThan">
      <formula>-0.04</formula>
    </cfRule>
    <cfRule type="cellIs" dxfId="249" priority="24" operator="greaterThan">
      <formula>0.04</formula>
    </cfRule>
  </conditionalFormatting>
  <conditionalFormatting sqref="H117:H125">
    <cfRule type="cellIs" dxfId="248" priority="19" operator="lessThan">
      <formula>-0.04</formula>
    </cfRule>
    <cfRule type="cellIs" dxfId="247" priority="20" operator="greaterThan">
      <formula>0.04</formula>
    </cfRule>
  </conditionalFormatting>
  <conditionalFormatting sqref="J1:J2 J4:J29 J31:J55 J65:J73 J57:J63 J75:J1048576">
    <cfRule type="cellIs" dxfId="246" priority="15" operator="lessThan">
      <formula>-0.01</formula>
    </cfRule>
    <cfRule type="cellIs" dxfId="245" priority="16" operator="greaterThan">
      <formula>0.01</formula>
    </cfRule>
  </conditionalFormatting>
  <conditionalFormatting sqref="H56">
    <cfRule type="cellIs" dxfId="244" priority="13" operator="lessThan">
      <formula>-0.04</formula>
    </cfRule>
    <cfRule type="cellIs" dxfId="243" priority="14" operator="greaterThan">
      <formula>0.04</formula>
    </cfRule>
  </conditionalFormatting>
  <conditionalFormatting sqref="J56">
    <cfRule type="cellIs" dxfId="242" priority="11" operator="lessThan">
      <formula>-0.01</formula>
    </cfRule>
    <cfRule type="cellIs" dxfId="241" priority="12" operator="greaterThan">
      <formula>0.01</formula>
    </cfRule>
  </conditionalFormatting>
  <conditionalFormatting sqref="J30">
    <cfRule type="cellIs" dxfId="240" priority="9" operator="lessThan">
      <formula>-0.01</formula>
    </cfRule>
    <cfRule type="cellIs" dxfId="239" priority="10" operator="greaterThan">
      <formula>0.01</formula>
    </cfRule>
  </conditionalFormatting>
  <conditionalFormatting sqref="H64">
    <cfRule type="cellIs" dxfId="238" priority="7" operator="lessThan">
      <formula>-0.04</formula>
    </cfRule>
    <cfRule type="cellIs" dxfId="237" priority="8" operator="greaterThan">
      <formula>0.04</formula>
    </cfRule>
  </conditionalFormatting>
  <conditionalFormatting sqref="J64">
    <cfRule type="cellIs" dxfId="236" priority="5" operator="lessThan">
      <formula>-0.01</formula>
    </cfRule>
    <cfRule type="cellIs" dxfId="235" priority="6" operator="greaterThan">
      <formula>0.01</formula>
    </cfRule>
  </conditionalFormatting>
  <conditionalFormatting sqref="H74">
    <cfRule type="cellIs" dxfId="234" priority="3" operator="lessThan">
      <formula>-0.04</formula>
    </cfRule>
    <cfRule type="cellIs" dxfId="233" priority="4" operator="greaterThan">
      <formula>0.04</formula>
    </cfRule>
  </conditionalFormatting>
  <conditionalFormatting sqref="J74">
    <cfRule type="cellIs" dxfId="232" priority="1" operator="greaterThan">
      <formula>0.01</formula>
    </cfRule>
    <cfRule type="cellIs" dxfId="231" priority="2" operator="lessThan">
      <formula>-0.01</formula>
    </cfRule>
  </conditionalFormatting>
  <pageMargins left="0.17" right="0.19" top="0.17" bottom="0.18" header="0.17" footer="0.18"/>
  <pageSetup paperSize="9" scale="60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176"/>
  <sheetViews>
    <sheetView view="pageBreakPreview" zoomScaleNormal="100" zoomScaleSheetLayoutView="100" workbookViewId="0">
      <pane ySplit="3" topLeftCell="A4" activePane="bottomLeft" state="frozen"/>
      <selection activeCell="G2" sqref="G2:L2"/>
      <selection pane="bottomLeft" activeCell="G2" sqref="G2:L2"/>
    </sheetView>
  </sheetViews>
  <sheetFormatPr baseColWidth="10" defaultColWidth="11.42578125" defaultRowHeight="12.75" x14ac:dyDescent="0.2"/>
  <cols>
    <col min="1" max="1" width="14.140625" style="193" bestFit="1" customWidth="1"/>
    <col min="2" max="2" width="24.28515625" style="242" bestFit="1" customWidth="1"/>
    <col min="3" max="3" width="67.140625" style="193" customWidth="1"/>
    <col min="4" max="4" width="8.140625" style="197" bestFit="1" customWidth="1"/>
    <col min="5" max="5" width="21.85546875" style="193" customWidth="1"/>
    <col min="6" max="6" width="11.5703125" style="197" customWidth="1"/>
    <col min="7" max="7" width="16.28515625" style="197" customWidth="1"/>
    <col min="8" max="8" width="16.28515625" style="244" customWidth="1"/>
    <col min="9" max="11" width="16.28515625" style="197" customWidth="1"/>
    <col min="12" max="16384" width="11.42578125" style="193"/>
  </cols>
  <sheetData>
    <row r="1" spans="2:11" ht="23.45" customHeight="1" x14ac:dyDescent="0.2">
      <c r="B1" s="194" t="s">
        <v>808</v>
      </c>
      <c r="C1" s="195" t="s">
        <v>328</v>
      </c>
      <c r="D1" s="195"/>
      <c r="E1" s="261" t="s">
        <v>807</v>
      </c>
      <c r="G1" s="200"/>
      <c r="H1" s="199"/>
      <c r="I1" s="200"/>
      <c r="J1" s="200"/>
      <c r="K1" s="200"/>
    </row>
    <row r="2" spans="2:11" ht="45.6" customHeight="1" x14ac:dyDescent="0.2">
      <c r="B2" s="201" t="s">
        <v>176</v>
      </c>
      <c r="C2" s="202" t="s">
        <v>398</v>
      </c>
      <c r="D2" s="203"/>
      <c r="E2" s="203"/>
      <c r="F2" s="203"/>
      <c r="G2" s="206"/>
      <c r="H2" s="205"/>
      <c r="I2" s="206"/>
      <c r="J2" s="206"/>
      <c r="K2" s="206"/>
    </row>
    <row r="3" spans="2:11" s="207" customFormat="1" ht="12" x14ac:dyDescent="0.25">
      <c r="B3" s="208" t="s">
        <v>0</v>
      </c>
      <c r="C3" s="209" t="s">
        <v>5</v>
      </c>
      <c r="D3" s="209" t="s">
        <v>181</v>
      </c>
      <c r="E3" s="209" t="s">
        <v>456</v>
      </c>
      <c r="F3" s="209"/>
      <c r="G3" s="245"/>
      <c r="H3" s="211"/>
      <c r="I3" s="209"/>
      <c r="J3" s="209"/>
      <c r="K3" s="209"/>
    </row>
    <row r="4" spans="2:11" s="218" customFormat="1" ht="12" customHeight="1" x14ac:dyDescent="0.2">
      <c r="B4" s="224"/>
      <c r="C4" s="213" t="s">
        <v>185</v>
      </c>
      <c r="D4" s="220"/>
      <c r="E4" s="220"/>
      <c r="F4" s="220"/>
      <c r="G4" s="222"/>
      <c r="H4" s="215"/>
      <c r="I4" s="210"/>
      <c r="J4" s="222"/>
      <c r="K4" s="222"/>
    </row>
    <row r="5" spans="2:11" s="218" customFormat="1" ht="12" customHeight="1" x14ac:dyDescent="0.2">
      <c r="B5" s="262" t="s">
        <v>229</v>
      </c>
      <c r="C5" s="263" t="s">
        <v>230</v>
      </c>
      <c r="D5" s="263">
        <v>1</v>
      </c>
      <c r="E5" s="235">
        <v>176.54320987654319</v>
      </c>
      <c r="F5" s="210"/>
      <c r="G5" s="222"/>
      <c r="H5" s="221"/>
      <c r="I5" s="210"/>
      <c r="J5" s="229"/>
      <c r="K5" s="222"/>
    </row>
    <row r="6" spans="2:11" s="218" customFormat="1" ht="12" customHeight="1" x14ac:dyDescent="0.2">
      <c r="B6" s="264" t="s">
        <v>337</v>
      </c>
      <c r="C6" s="265" t="s">
        <v>457</v>
      </c>
      <c r="D6" s="265">
        <v>1</v>
      </c>
      <c r="E6" s="266">
        <v>18.02469135802469</v>
      </c>
      <c r="F6" s="210"/>
      <c r="G6" s="222"/>
      <c r="H6" s="221"/>
      <c r="I6" s="210"/>
      <c r="J6" s="229"/>
      <c r="K6" s="222"/>
    </row>
    <row r="7" spans="2:11" s="218" customFormat="1" ht="12" customHeight="1" x14ac:dyDescent="0.2">
      <c r="B7" s="264" t="s">
        <v>231</v>
      </c>
      <c r="C7" s="265" t="s">
        <v>787</v>
      </c>
      <c r="D7" s="265">
        <v>1</v>
      </c>
      <c r="E7" s="235">
        <v>183.95061728395061</v>
      </c>
      <c r="F7" s="210"/>
      <c r="G7" s="222"/>
      <c r="H7" s="221"/>
      <c r="I7" s="210"/>
      <c r="J7" s="222"/>
      <c r="K7" s="222"/>
    </row>
    <row r="8" spans="2:11" s="218" customFormat="1" ht="12" customHeight="1" x14ac:dyDescent="0.2">
      <c r="B8" s="264" t="s">
        <v>270</v>
      </c>
      <c r="C8" s="265" t="s">
        <v>43</v>
      </c>
      <c r="D8" s="265">
        <v>1</v>
      </c>
      <c r="E8" s="210">
        <v>16.123456790123456</v>
      </c>
      <c r="F8" s="210"/>
      <c r="G8" s="222"/>
      <c r="H8" s="221"/>
      <c r="I8" s="210"/>
      <c r="J8" s="222"/>
      <c r="K8" s="222"/>
    </row>
    <row r="9" spans="2:11" s="218" customFormat="1" ht="12" customHeight="1" x14ac:dyDescent="0.2">
      <c r="B9" s="264" t="s">
        <v>35</v>
      </c>
      <c r="C9" s="265" t="s">
        <v>143</v>
      </c>
      <c r="D9" s="265">
        <v>1</v>
      </c>
      <c r="E9" s="210">
        <v>18.061728395061728</v>
      </c>
      <c r="F9" s="210"/>
      <c r="G9" s="222"/>
      <c r="H9" s="221"/>
      <c r="I9" s="210"/>
      <c r="J9" s="222"/>
      <c r="K9" s="222"/>
    </row>
    <row r="10" spans="2:11" s="218" customFormat="1" ht="12" customHeight="1" x14ac:dyDescent="0.2">
      <c r="B10" s="264" t="s">
        <v>399</v>
      </c>
      <c r="C10" s="265" t="s">
        <v>458</v>
      </c>
      <c r="D10" s="265">
        <v>1</v>
      </c>
      <c r="E10" s="210">
        <v>50.617283950617278</v>
      </c>
      <c r="F10" s="210"/>
      <c r="G10" s="222"/>
      <c r="H10" s="221"/>
      <c r="I10" s="210"/>
      <c r="J10" s="222"/>
      <c r="K10" s="222"/>
    </row>
    <row r="11" spans="2:11" s="218" customFormat="1" ht="12" customHeight="1" x14ac:dyDescent="0.2">
      <c r="B11" s="264" t="s">
        <v>247</v>
      </c>
      <c r="C11" s="265" t="s">
        <v>459</v>
      </c>
      <c r="D11" s="265" t="s">
        <v>178</v>
      </c>
      <c r="E11" s="210">
        <v>7.4444444444444446</v>
      </c>
      <c r="F11" s="210"/>
      <c r="G11" s="222"/>
      <c r="H11" s="221"/>
      <c r="I11" s="210"/>
      <c r="J11" s="222"/>
      <c r="K11" s="222"/>
    </row>
    <row r="12" spans="2:11" s="218" customFormat="1" ht="12" customHeight="1" x14ac:dyDescent="0.2">
      <c r="B12" s="267" t="s">
        <v>268</v>
      </c>
      <c r="C12" s="265" t="s">
        <v>14</v>
      </c>
      <c r="D12" s="265">
        <v>1</v>
      </c>
      <c r="E12" s="210">
        <v>3.1358024691358022</v>
      </c>
      <c r="F12" s="210"/>
      <c r="G12" s="222"/>
      <c r="H12" s="221"/>
      <c r="I12" s="210"/>
      <c r="J12" s="222"/>
      <c r="K12" s="222"/>
    </row>
    <row r="13" spans="2:11" s="218" customFormat="1" ht="12" customHeight="1" x14ac:dyDescent="0.2">
      <c r="B13" s="267">
        <v>2090064</v>
      </c>
      <c r="C13" s="265" t="s">
        <v>8</v>
      </c>
      <c r="D13" s="265">
        <v>1</v>
      </c>
      <c r="E13" s="210">
        <v>0.91662962962962957</v>
      </c>
      <c r="F13" s="210"/>
      <c r="G13" s="222"/>
      <c r="H13" s="221"/>
      <c r="I13" s="210"/>
      <c r="J13" s="222"/>
      <c r="K13" s="222"/>
    </row>
    <row r="14" spans="2:11" s="218" customFormat="1" ht="12" customHeight="1" x14ac:dyDescent="0.2">
      <c r="B14" s="267" t="s">
        <v>118</v>
      </c>
      <c r="C14" s="265" t="s">
        <v>460</v>
      </c>
      <c r="D14" s="265">
        <v>1</v>
      </c>
      <c r="E14" s="210">
        <v>0</v>
      </c>
      <c r="F14" s="210"/>
      <c r="G14" s="222"/>
      <c r="H14" s="221"/>
      <c r="I14" s="210"/>
      <c r="J14" s="222"/>
      <c r="K14" s="222"/>
    </row>
    <row r="15" spans="2:11" s="218" customFormat="1" ht="12" customHeight="1" x14ac:dyDescent="0.2">
      <c r="B15" s="267" t="s">
        <v>41</v>
      </c>
      <c r="C15" s="265" t="s">
        <v>42</v>
      </c>
      <c r="D15" s="265">
        <v>1</v>
      </c>
      <c r="E15" s="210">
        <v>0.29629629629629628</v>
      </c>
      <c r="F15" s="210"/>
      <c r="G15" s="222"/>
      <c r="H15" s="221"/>
      <c r="I15" s="210"/>
      <c r="J15" s="222"/>
      <c r="K15" s="222"/>
    </row>
    <row r="16" spans="2:11" s="218" customFormat="1" ht="12" customHeight="1" x14ac:dyDescent="0.2">
      <c r="B16" s="267" t="s">
        <v>127</v>
      </c>
      <c r="C16" s="265" t="s">
        <v>461</v>
      </c>
      <c r="D16" s="265">
        <v>4</v>
      </c>
      <c r="E16" s="210">
        <v>2.4691358024691357E-2</v>
      </c>
      <c r="F16" s="210"/>
      <c r="G16" s="222"/>
      <c r="H16" s="221"/>
      <c r="I16" s="210"/>
      <c r="J16" s="222"/>
      <c r="K16" s="222"/>
    </row>
    <row r="17" spans="1:11" s="218" customFormat="1" ht="12" customHeight="1" x14ac:dyDescent="0.2">
      <c r="B17" s="267">
        <v>9824720</v>
      </c>
      <c r="C17" s="265" t="s">
        <v>462</v>
      </c>
      <c r="D17" s="265">
        <v>4</v>
      </c>
      <c r="E17" s="210">
        <v>4.9382716049382713E-2</v>
      </c>
      <c r="F17" s="210"/>
      <c r="G17" s="222"/>
      <c r="H17" s="221"/>
      <c r="I17" s="210"/>
      <c r="J17" s="222"/>
      <c r="K17" s="222"/>
    </row>
    <row r="18" spans="1:11" s="218" customFormat="1" ht="12" customHeight="1" x14ac:dyDescent="0.2">
      <c r="B18" s="267">
        <v>9824543</v>
      </c>
      <c r="C18" s="265" t="s">
        <v>463</v>
      </c>
      <c r="D18" s="265">
        <v>4</v>
      </c>
      <c r="E18" s="210">
        <v>1.2345679012345678E-2</v>
      </c>
      <c r="F18" s="210"/>
      <c r="G18" s="222"/>
      <c r="H18" s="221"/>
      <c r="I18" s="210"/>
      <c r="J18" s="222"/>
      <c r="K18" s="222"/>
    </row>
    <row r="19" spans="1:11" s="218" customFormat="1" ht="12" customHeight="1" x14ac:dyDescent="0.2">
      <c r="B19" s="267" t="s">
        <v>116</v>
      </c>
      <c r="C19" s="265" t="s">
        <v>464</v>
      </c>
      <c r="D19" s="265">
        <v>1</v>
      </c>
      <c r="E19" s="210">
        <v>2.4691358024691357E-2</v>
      </c>
      <c r="F19" s="210"/>
      <c r="G19" s="222"/>
      <c r="H19" s="221"/>
      <c r="I19" s="210"/>
      <c r="J19" s="222"/>
      <c r="K19" s="222"/>
    </row>
    <row r="20" spans="1:11" s="218" customFormat="1" ht="12" customHeight="1" x14ac:dyDescent="0.2">
      <c r="B20" s="267" t="s">
        <v>377</v>
      </c>
      <c r="C20" s="265" t="s">
        <v>416</v>
      </c>
      <c r="D20" s="265">
        <v>1</v>
      </c>
      <c r="E20" s="210">
        <v>7.7530864197530862</v>
      </c>
      <c r="F20" s="210"/>
      <c r="G20" s="222"/>
      <c r="H20" s="221"/>
      <c r="I20" s="210"/>
      <c r="J20" s="222"/>
      <c r="K20" s="222"/>
    </row>
    <row r="21" spans="1:11" s="251" customFormat="1" ht="12" customHeight="1" x14ac:dyDescent="0.2">
      <c r="A21" s="218"/>
      <c r="B21" s="267" t="s">
        <v>417</v>
      </c>
      <c r="C21" s="265" t="s">
        <v>418</v>
      </c>
      <c r="D21" s="265">
        <v>1</v>
      </c>
      <c r="E21" s="210">
        <v>2.3456790123456788</v>
      </c>
      <c r="F21" s="210"/>
      <c r="G21" s="268"/>
      <c r="H21" s="221"/>
      <c r="I21" s="235"/>
      <c r="J21" s="229"/>
      <c r="K21" s="229"/>
    </row>
    <row r="22" spans="1:11" s="251" customFormat="1" ht="12" customHeight="1" x14ac:dyDescent="0.2">
      <c r="A22" s="218"/>
      <c r="B22" s="267" t="s">
        <v>726</v>
      </c>
      <c r="C22" s="265" t="s">
        <v>737</v>
      </c>
      <c r="D22" s="265">
        <v>1</v>
      </c>
      <c r="E22" s="210">
        <v>0</v>
      </c>
      <c r="F22" s="210"/>
      <c r="G22" s="268"/>
      <c r="H22" s="221"/>
      <c r="I22" s="235"/>
      <c r="J22" s="229"/>
      <c r="K22" s="229"/>
    </row>
    <row r="23" spans="1:11" s="251" customFormat="1" ht="12" customHeight="1" x14ac:dyDescent="0.2">
      <c r="A23" s="218"/>
      <c r="B23" s="267" t="s">
        <v>249</v>
      </c>
      <c r="C23" s="265" t="s">
        <v>788</v>
      </c>
      <c r="D23" s="265">
        <v>1</v>
      </c>
      <c r="E23" s="210">
        <v>4.9382716049382713E-2</v>
      </c>
      <c r="F23" s="210"/>
      <c r="G23" s="268"/>
      <c r="H23" s="221"/>
      <c r="I23" s="235"/>
      <c r="J23" s="229"/>
      <c r="K23" s="229"/>
    </row>
    <row r="24" spans="1:11" s="251" customFormat="1" ht="12" customHeight="1" x14ac:dyDescent="0.2">
      <c r="A24" s="218"/>
      <c r="B24" s="267" t="s">
        <v>404</v>
      </c>
      <c r="C24" s="265" t="s">
        <v>405</v>
      </c>
      <c r="D24" s="265">
        <v>1</v>
      </c>
      <c r="E24" s="210">
        <v>0</v>
      </c>
      <c r="F24" s="210"/>
      <c r="G24" s="268"/>
      <c r="H24" s="221"/>
      <c r="I24" s="235"/>
      <c r="J24" s="229"/>
      <c r="K24" s="229"/>
    </row>
    <row r="25" spans="1:11" s="251" customFormat="1" ht="12" customHeight="1" x14ac:dyDescent="0.2">
      <c r="A25" s="218"/>
      <c r="B25" s="267" t="s">
        <v>455</v>
      </c>
      <c r="C25" s="265" t="s">
        <v>152</v>
      </c>
      <c r="D25" s="265">
        <v>1</v>
      </c>
      <c r="E25" s="210">
        <v>74.074074074074076</v>
      </c>
      <c r="F25" s="210"/>
      <c r="G25" s="268"/>
      <c r="H25" s="221"/>
      <c r="I25" s="210"/>
      <c r="J25" s="222"/>
      <c r="K25" s="229"/>
    </row>
    <row r="26" spans="1:11" s="251" customFormat="1" ht="12" customHeight="1" x14ac:dyDescent="0.2">
      <c r="A26" s="218"/>
      <c r="B26" s="267" t="s">
        <v>409</v>
      </c>
      <c r="C26" s="265" t="s">
        <v>410</v>
      </c>
      <c r="D26" s="265">
        <v>1</v>
      </c>
      <c r="E26" s="210">
        <v>41.76543209876543</v>
      </c>
      <c r="F26" s="210"/>
      <c r="G26" s="268"/>
      <c r="H26" s="221"/>
      <c r="I26" s="210"/>
      <c r="J26" s="222"/>
      <c r="K26" s="229"/>
    </row>
    <row r="27" spans="1:11" s="218" customFormat="1" ht="12" customHeight="1" x14ac:dyDescent="0.2">
      <c r="B27" s="264" t="s">
        <v>266</v>
      </c>
      <c r="C27" s="220" t="s">
        <v>40</v>
      </c>
      <c r="D27" s="265">
        <v>1</v>
      </c>
      <c r="E27" s="210">
        <v>0.7407407407407407</v>
      </c>
      <c r="F27" s="210"/>
      <c r="G27" s="222"/>
      <c r="H27" s="221"/>
      <c r="I27" s="210"/>
      <c r="J27" s="222"/>
      <c r="K27" s="222"/>
    </row>
    <row r="28" spans="1:11" s="251" customFormat="1" ht="12" customHeight="1" x14ac:dyDescent="0.2">
      <c r="B28" s="247"/>
      <c r="C28" s="220"/>
      <c r="D28" s="269"/>
      <c r="E28" s="210">
        <v>0</v>
      </c>
      <c r="F28" s="210"/>
      <c r="G28" s="268"/>
      <c r="H28" s="221"/>
      <c r="I28" s="235"/>
      <c r="J28" s="229"/>
      <c r="K28" s="229"/>
    </row>
    <row r="29" spans="1:11" s="218" customFormat="1" ht="12" customHeight="1" x14ac:dyDescent="0.2">
      <c r="B29" s="224"/>
      <c r="C29" s="213" t="s">
        <v>186</v>
      </c>
      <c r="D29" s="220"/>
      <c r="E29" s="220">
        <v>0</v>
      </c>
      <c r="F29" s="210"/>
      <c r="G29" s="222"/>
      <c r="H29" s="215"/>
      <c r="I29" s="210"/>
      <c r="J29" s="222"/>
      <c r="K29" s="222"/>
    </row>
    <row r="30" spans="1:11" s="218" customFormat="1" ht="12" customHeight="1" x14ac:dyDescent="0.2">
      <c r="A30" s="251"/>
      <c r="B30" s="267" t="s">
        <v>465</v>
      </c>
      <c r="C30" s="265" t="s">
        <v>339</v>
      </c>
      <c r="D30" s="269" t="s">
        <v>178</v>
      </c>
      <c r="E30" s="228">
        <v>0</v>
      </c>
      <c r="F30" s="210"/>
      <c r="G30" s="229"/>
      <c r="H30" s="215"/>
      <c r="I30" s="210"/>
      <c r="J30" s="222"/>
      <c r="K30" s="222"/>
    </row>
    <row r="31" spans="1:11" s="218" customFormat="1" ht="12" customHeight="1" x14ac:dyDescent="0.2">
      <c r="A31" s="251"/>
      <c r="B31" s="267" t="s">
        <v>804</v>
      </c>
      <c r="C31" s="265" t="s">
        <v>419</v>
      </c>
      <c r="D31" s="269" t="s">
        <v>178</v>
      </c>
      <c r="E31" s="228">
        <v>0</v>
      </c>
      <c r="F31" s="210"/>
      <c r="G31" s="229"/>
      <c r="H31" s="215"/>
      <c r="I31" s="210"/>
      <c r="J31" s="222"/>
      <c r="K31" s="222"/>
    </row>
    <row r="32" spans="1:11" s="218" customFormat="1" ht="12" customHeight="1" x14ac:dyDescent="0.2">
      <c r="A32" s="251"/>
      <c r="B32" s="267" t="s">
        <v>805</v>
      </c>
      <c r="C32" s="265" t="s">
        <v>340</v>
      </c>
      <c r="D32" s="269" t="s">
        <v>178</v>
      </c>
      <c r="E32" s="228">
        <v>0</v>
      </c>
      <c r="F32" s="210"/>
      <c r="G32" s="229"/>
      <c r="H32" s="215"/>
      <c r="I32" s="210"/>
      <c r="J32" s="222"/>
      <c r="K32" s="222"/>
    </row>
    <row r="33" spans="1:11" s="218" customFormat="1" ht="12" customHeight="1" x14ac:dyDescent="0.2">
      <c r="A33" s="251"/>
      <c r="B33" s="267" t="s">
        <v>806</v>
      </c>
      <c r="C33" s="265" t="s">
        <v>341</v>
      </c>
      <c r="D33" s="269" t="s">
        <v>178</v>
      </c>
      <c r="E33" s="228">
        <v>0</v>
      </c>
      <c r="F33" s="210"/>
      <c r="G33" s="229"/>
      <c r="H33" s="215"/>
      <c r="I33" s="210"/>
      <c r="J33" s="222"/>
      <c r="K33" s="222"/>
    </row>
    <row r="34" spans="1:11" s="218" customFormat="1" ht="12" customHeight="1" x14ac:dyDescent="0.2">
      <c r="A34" s="251"/>
      <c r="B34" s="267" t="s">
        <v>400</v>
      </c>
      <c r="C34" s="265" t="s">
        <v>338</v>
      </c>
      <c r="D34" s="265">
        <v>2</v>
      </c>
      <c r="E34" s="228">
        <v>0</v>
      </c>
      <c r="F34" s="210"/>
      <c r="G34" s="229"/>
      <c r="H34" s="215"/>
      <c r="I34" s="210"/>
      <c r="J34" s="222"/>
      <c r="K34" s="222"/>
    </row>
    <row r="35" spans="1:11" s="218" customFormat="1" ht="12" customHeight="1" x14ac:dyDescent="0.2">
      <c r="A35" s="251"/>
      <c r="B35" s="270" t="s">
        <v>411</v>
      </c>
      <c r="C35" s="265" t="s">
        <v>466</v>
      </c>
      <c r="D35" s="265">
        <v>1</v>
      </c>
      <c r="E35" s="228">
        <v>0</v>
      </c>
      <c r="F35" s="210"/>
      <c r="G35" s="229"/>
      <c r="H35" s="215"/>
      <c r="I35" s="210"/>
      <c r="J35" s="222"/>
      <c r="K35" s="222"/>
    </row>
    <row r="36" spans="1:11" ht="12" customHeight="1" x14ac:dyDescent="0.2">
      <c r="A36" s="231"/>
      <c r="B36" s="231"/>
      <c r="C36" s="231" t="s">
        <v>188</v>
      </c>
      <c r="D36" s="231"/>
      <c r="E36" s="231">
        <v>0</v>
      </c>
      <c r="F36" s="231"/>
      <c r="G36" s="231"/>
      <c r="H36" s="231"/>
      <c r="I36" s="231"/>
      <c r="J36" s="231"/>
      <c r="K36" s="231"/>
    </row>
    <row r="37" spans="1:11" ht="12" customHeight="1" x14ac:dyDescent="0.2">
      <c r="B37" s="212"/>
      <c r="C37" s="213" t="s">
        <v>44</v>
      </c>
      <c r="D37" s="228"/>
      <c r="E37" s="228">
        <v>0</v>
      </c>
      <c r="F37" s="235"/>
      <c r="G37" s="229"/>
      <c r="H37" s="215"/>
      <c r="I37" s="210"/>
      <c r="J37" s="222"/>
      <c r="K37" s="222"/>
    </row>
    <row r="38" spans="1:11" ht="12" customHeight="1" x14ac:dyDescent="0.2">
      <c r="B38" s="271">
        <v>2180007</v>
      </c>
      <c r="C38" s="265" t="s">
        <v>789</v>
      </c>
      <c r="D38" s="228">
        <v>1</v>
      </c>
      <c r="E38" s="235">
        <v>159.25925925925924</v>
      </c>
      <c r="F38" s="235"/>
      <c r="G38" s="229"/>
      <c r="H38" s="221"/>
      <c r="I38" s="235"/>
      <c r="J38" s="222"/>
      <c r="K38" s="222"/>
    </row>
    <row r="39" spans="1:11" ht="12" customHeight="1" x14ac:dyDescent="0.2">
      <c r="B39" s="271">
        <v>2180002</v>
      </c>
      <c r="C39" s="265" t="s">
        <v>790</v>
      </c>
      <c r="D39" s="228">
        <v>1</v>
      </c>
      <c r="E39" s="235">
        <v>207.38271604938268</v>
      </c>
      <c r="F39" s="235"/>
      <c r="G39" s="229"/>
      <c r="H39" s="221"/>
      <c r="I39" s="235"/>
      <c r="J39" s="222"/>
      <c r="K39" s="222"/>
    </row>
    <row r="40" spans="1:11" ht="12" customHeight="1" x14ac:dyDescent="0.2">
      <c r="B40" s="271">
        <v>2180001</v>
      </c>
      <c r="C40" s="265" t="s">
        <v>791</v>
      </c>
      <c r="D40" s="228">
        <v>1</v>
      </c>
      <c r="E40" s="235">
        <v>332.09876543209873</v>
      </c>
      <c r="F40" s="235"/>
      <c r="G40" s="229"/>
      <c r="H40" s="221"/>
      <c r="I40" s="235"/>
      <c r="J40" s="222"/>
      <c r="K40" s="222"/>
    </row>
    <row r="41" spans="1:11" ht="12" customHeight="1" x14ac:dyDescent="0.2">
      <c r="B41" s="271" t="s">
        <v>360</v>
      </c>
      <c r="C41" s="265" t="s">
        <v>792</v>
      </c>
      <c r="D41" s="228">
        <v>1</v>
      </c>
      <c r="E41" s="235">
        <v>145.67901234567901</v>
      </c>
      <c r="F41" s="235"/>
      <c r="G41" s="229"/>
      <c r="H41" s="221"/>
      <c r="I41" s="235"/>
      <c r="J41" s="222"/>
      <c r="K41" s="222"/>
    </row>
    <row r="42" spans="1:11" ht="12" customHeight="1" x14ac:dyDescent="0.2">
      <c r="B42" s="271" t="s">
        <v>358</v>
      </c>
      <c r="C42" s="265" t="s">
        <v>793</v>
      </c>
      <c r="D42" s="228">
        <v>1</v>
      </c>
      <c r="E42" s="235">
        <v>265.53086419753089</v>
      </c>
      <c r="F42" s="235"/>
      <c r="G42" s="229"/>
      <c r="H42" s="221"/>
      <c r="I42" s="235"/>
      <c r="J42" s="222"/>
      <c r="K42" s="222"/>
    </row>
    <row r="43" spans="1:11" ht="12" customHeight="1" x14ac:dyDescent="0.2">
      <c r="B43" s="271" t="s">
        <v>356</v>
      </c>
      <c r="C43" s="265" t="s">
        <v>794</v>
      </c>
      <c r="D43" s="228">
        <v>1</v>
      </c>
      <c r="E43" s="235">
        <v>364.19753086419752</v>
      </c>
      <c r="F43" s="235"/>
      <c r="G43" s="229"/>
      <c r="H43" s="221"/>
      <c r="I43" s="235"/>
      <c r="J43" s="222"/>
      <c r="K43" s="222"/>
    </row>
    <row r="44" spans="1:11" ht="12" customHeight="1" x14ac:dyDescent="0.2">
      <c r="B44" s="272" t="s">
        <v>407</v>
      </c>
      <c r="C44" s="265" t="s">
        <v>795</v>
      </c>
      <c r="D44" s="228">
        <v>1</v>
      </c>
      <c r="E44" s="235">
        <v>48.148148148148145</v>
      </c>
      <c r="F44" s="235"/>
      <c r="G44" s="229"/>
      <c r="H44" s="221"/>
      <c r="I44" s="235"/>
      <c r="J44" s="222"/>
      <c r="K44" s="222"/>
    </row>
    <row r="45" spans="1:11" ht="12" customHeight="1" x14ac:dyDescent="0.2">
      <c r="B45" s="271"/>
      <c r="C45" s="220"/>
      <c r="D45" s="228"/>
      <c r="E45" s="228">
        <v>0</v>
      </c>
      <c r="F45" s="235"/>
      <c r="G45" s="229"/>
      <c r="H45" s="250"/>
      <c r="I45" s="210"/>
      <c r="J45" s="222"/>
      <c r="K45" s="222"/>
    </row>
    <row r="46" spans="1:11" ht="12" customHeight="1" x14ac:dyDescent="0.2">
      <c r="A46" s="248">
        <v>1</v>
      </c>
      <c r="B46" s="271"/>
      <c r="C46" s="234" t="s">
        <v>1</v>
      </c>
      <c r="D46" s="220"/>
      <c r="E46" s="220">
        <v>0</v>
      </c>
      <c r="F46" s="210"/>
      <c r="G46" s="222"/>
      <c r="H46" s="250"/>
      <c r="I46" s="210"/>
      <c r="J46" s="222"/>
      <c r="K46" s="222"/>
    </row>
    <row r="47" spans="1:11" ht="12" customHeight="1" x14ac:dyDescent="0.2">
      <c r="A47" s="248">
        <v>2</v>
      </c>
      <c r="B47" s="271" t="s">
        <v>483</v>
      </c>
      <c r="C47" s="265" t="s">
        <v>796</v>
      </c>
      <c r="D47" s="220"/>
      <c r="E47" s="235">
        <v>41.975308641975303</v>
      </c>
      <c r="F47" s="210"/>
      <c r="G47" s="222"/>
      <c r="H47" s="221"/>
      <c r="I47" s="235"/>
      <c r="J47" s="222"/>
      <c r="K47" s="222"/>
    </row>
    <row r="48" spans="1:11" ht="12" customHeight="1" x14ac:dyDescent="0.2">
      <c r="A48" s="248"/>
      <c r="B48" s="271" t="s">
        <v>493</v>
      </c>
      <c r="C48" s="265" t="s">
        <v>797</v>
      </c>
      <c r="D48" s="220"/>
      <c r="E48" s="235">
        <v>78.395061728395063</v>
      </c>
      <c r="F48" s="210"/>
      <c r="G48" s="222"/>
      <c r="H48" s="221"/>
      <c r="I48" s="235"/>
      <c r="J48" s="222"/>
      <c r="K48" s="222"/>
    </row>
    <row r="49" spans="1:12" ht="12" customHeight="1" x14ac:dyDescent="0.2">
      <c r="A49" s="248"/>
      <c r="B49" s="271"/>
      <c r="C49" s="273"/>
      <c r="D49" s="220"/>
      <c r="E49" s="220">
        <v>0</v>
      </c>
      <c r="F49" s="210"/>
      <c r="G49" s="222"/>
      <c r="H49" s="221"/>
      <c r="I49" s="210"/>
      <c r="J49" s="222"/>
      <c r="K49" s="222"/>
    </row>
    <row r="50" spans="1:12" s="248" customFormat="1" ht="12" customHeight="1" x14ac:dyDescent="0.2">
      <c r="B50" s="271"/>
      <c r="C50" s="213" t="s">
        <v>179</v>
      </c>
      <c r="D50" s="228"/>
      <c r="E50" s="228">
        <v>0</v>
      </c>
      <c r="F50" s="235"/>
      <c r="G50" s="229"/>
      <c r="H50" s="215"/>
      <c r="I50" s="235"/>
      <c r="J50" s="229"/>
      <c r="K50" s="229"/>
    </row>
    <row r="51" spans="1:12" s="248" customFormat="1" ht="12" customHeight="1" x14ac:dyDescent="0.2">
      <c r="B51" s="271" t="s">
        <v>178</v>
      </c>
      <c r="C51" s="274" t="s">
        <v>178</v>
      </c>
      <c r="D51" s="228"/>
      <c r="E51" s="235">
        <v>0</v>
      </c>
      <c r="F51" s="235"/>
      <c r="G51" s="229"/>
      <c r="H51" s="215"/>
      <c r="I51" s="235"/>
      <c r="J51" s="229"/>
      <c r="K51" s="229"/>
    </row>
    <row r="52" spans="1:12" s="248" customFormat="1" ht="12" customHeight="1" x14ac:dyDescent="0.2">
      <c r="B52" s="275" t="s">
        <v>562</v>
      </c>
      <c r="C52" s="265" t="s">
        <v>563</v>
      </c>
      <c r="D52" s="228">
        <v>1</v>
      </c>
      <c r="E52" s="235">
        <v>54.876543209876544</v>
      </c>
      <c r="F52" s="235"/>
      <c r="G52" s="229"/>
      <c r="H52" s="221"/>
      <c r="I52" s="235"/>
      <c r="J52" s="229"/>
      <c r="K52" s="228"/>
    </row>
    <row r="53" spans="1:12" s="248" customFormat="1" ht="12" customHeight="1" x14ac:dyDescent="0.2">
      <c r="B53" s="275" t="s">
        <v>621</v>
      </c>
      <c r="C53" s="265" t="s">
        <v>622</v>
      </c>
      <c r="D53" s="228">
        <v>1</v>
      </c>
      <c r="E53" s="235">
        <v>98.641975308641975</v>
      </c>
      <c r="F53" s="235"/>
      <c r="G53" s="229"/>
      <c r="H53" s="221"/>
      <c r="I53" s="235"/>
      <c r="J53" s="229"/>
      <c r="K53" s="228"/>
    </row>
    <row r="54" spans="1:12" s="248" customFormat="1" ht="12" customHeight="1" x14ac:dyDescent="0.2">
      <c r="B54" s="275" t="s">
        <v>623</v>
      </c>
      <c r="C54" s="265" t="s">
        <v>641</v>
      </c>
      <c r="D54" s="228">
        <v>1</v>
      </c>
      <c r="E54" s="235">
        <v>275.91358024691357</v>
      </c>
      <c r="F54" s="235"/>
      <c r="G54" s="229"/>
      <c r="H54" s="221"/>
      <c r="I54" s="235"/>
      <c r="J54" s="229"/>
      <c r="K54" s="228"/>
    </row>
    <row r="55" spans="1:12" s="248" customFormat="1" ht="12" customHeight="1" x14ac:dyDescent="0.2">
      <c r="B55" s="275" t="s">
        <v>515</v>
      </c>
      <c r="C55" s="265" t="s">
        <v>798</v>
      </c>
      <c r="D55" s="228">
        <v>1</v>
      </c>
      <c r="E55" s="235">
        <v>77.543209876543202</v>
      </c>
      <c r="F55" s="235"/>
      <c r="G55" s="229"/>
      <c r="H55" s="221"/>
      <c r="I55" s="235"/>
      <c r="J55" s="229"/>
      <c r="K55" s="228"/>
    </row>
    <row r="56" spans="1:12" s="248" customFormat="1" ht="12" customHeight="1" x14ac:dyDescent="0.2">
      <c r="B56" s="276" t="s">
        <v>342</v>
      </c>
      <c r="C56" s="265" t="s">
        <v>85</v>
      </c>
      <c r="D56" s="228">
        <v>1</v>
      </c>
      <c r="E56" s="235">
        <v>54.197530864197525</v>
      </c>
      <c r="F56" s="235"/>
      <c r="G56" s="229"/>
      <c r="H56" s="221"/>
      <c r="I56" s="235"/>
      <c r="J56" s="229"/>
      <c r="K56" s="228"/>
    </row>
    <row r="57" spans="1:12" s="248" customFormat="1" ht="12" customHeight="1" x14ac:dyDescent="0.2">
      <c r="B57" s="272" t="s">
        <v>324</v>
      </c>
      <c r="C57" s="265" t="s">
        <v>326</v>
      </c>
      <c r="D57" s="228">
        <v>1</v>
      </c>
      <c r="E57" s="235">
        <v>19.456790123456788</v>
      </c>
      <c r="F57" s="235"/>
      <c r="G57" s="229"/>
      <c r="H57" s="221"/>
      <c r="I57" s="235"/>
      <c r="J57" s="229"/>
      <c r="K57" s="228"/>
    </row>
    <row r="58" spans="1:12" s="248" customFormat="1" ht="12" customHeight="1" x14ac:dyDescent="0.2">
      <c r="B58" s="247" t="s">
        <v>325</v>
      </c>
      <c r="C58" s="265" t="s">
        <v>327</v>
      </c>
      <c r="D58" s="228">
        <v>1</v>
      </c>
      <c r="E58" s="235">
        <v>18.790123456790123</v>
      </c>
      <c r="F58" s="235"/>
      <c r="G58" s="229"/>
      <c r="H58" s="221"/>
      <c r="I58" s="235"/>
      <c r="J58" s="229"/>
      <c r="K58" s="228"/>
    </row>
    <row r="59" spans="1:12" s="248" customFormat="1" ht="12" customHeight="1" x14ac:dyDescent="0.2">
      <c r="B59" s="277">
        <v>9824531</v>
      </c>
      <c r="C59" s="278" t="s">
        <v>809</v>
      </c>
      <c r="D59" s="228">
        <v>1</v>
      </c>
      <c r="E59" s="210">
        <v>7.407407407407407E-2</v>
      </c>
      <c r="F59" s="235"/>
      <c r="G59" s="229"/>
      <c r="H59" s="221"/>
      <c r="I59" s="235"/>
      <c r="J59" s="229"/>
      <c r="K59" s="228"/>
    </row>
    <row r="60" spans="1:12" ht="12" customHeight="1" x14ac:dyDescent="0.2">
      <c r="B60" s="219" t="s">
        <v>701</v>
      </c>
      <c r="C60" s="279" t="s">
        <v>689</v>
      </c>
      <c r="D60" s="225">
        <v>1</v>
      </c>
      <c r="E60" s="210">
        <v>0</v>
      </c>
      <c r="F60" s="210"/>
      <c r="G60" s="222"/>
      <c r="H60" s="221"/>
      <c r="I60" s="210"/>
      <c r="J60" s="222"/>
      <c r="K60" s="280"/>
      <c r="L60" s="218"/>
    </row>
    <row r="61" spans="1:12" s="248" customFormat="1" ht="12" customHeight="1" x14ac:dyDescent="0.2">
      <c r="B61" s="271"/>
      <c r="C61" s="228"/>
      <c r="D61" s="228"/>
      <c r="E61" s="235">
        <v>0</v>
      </c>
      <c r="F61" s="235"/>
      <c r="G61" s="229"/>
      <c r="H61" s="215"/>
      <c r="I61" s="235"/>
      <c r="J61" s="229"/>
      <c r="K61" s="229"/>
    </row>
    <row r="62" spans="1:12" s="248" customFormat="1" ht="12" customHeight="1" x14ac:dyDescent="0.2">
      <c r="B62" s="271"/>
      <c r="C62" s="213" t="s">
        <v>412</v>
      </c>
      <c r="D62" s="228"/>
      <c r="E62" s="235">
        <v>0</v>
      </c>
      <c r="F62" s="235"/>
      <c r="G62" s="229"/>
      <c r="H62" s="215"/>
      <c r="I62" s="235"/>
      <c r="J62" s="229"/>
      <c r="K62" s="229"/>
    </row>
    <row r="63" spans="1:12" s="248" customFormat="1" ht="12" customHeight="1" x14ac:dyDescent="0.2">
      <c r="A63" s="248" t="s">
        <v>256</v>
      </c>
      <c r="B63" s="281" t="s">
        <v>406</v>
      </c>
      <c r="C63" s="278" t="s">
        <v>799</v>
      </c>
      <c r="D63" s="256">
        <v>1</v>
      </c>
      <c r="E63" s="235">
        <v>18.518518518518519</v>
      </c>
      <c r="F63" s="235"/>
      <c r="G63" s="229"/>
      <c r="H63" s="221"/>
      <c r="I63" s="235"/>
      <c r="J63" s="229"/>
      <c r="K63" s="229"/>
    </row>
    <row r="64" spans="1:12" s="248" customFormat="1" ht="12" customHeight="1" x14ac:dyDescent="0.2">
      <c r="A64" s="248" t="s">
        <v>257</v>
      </c>
      <c r="B64" s="281" t="s">
        <v>265</v>
      </c>
      <c r="C64" s="278" t="s">
        <v>63</v>
      </c>
      <c r="D64" s="256">
        <v>4</v>
      </c>
      <c r="E64" s="235">
        <v>0.39506172839506171</v>
      </c>
      <c r="F64" s="235"/>
      <c r="G64" s="229"/>
      <c r="H64" s="221"/>
      <c r="I64" s="235"/>
      <c r="J64" s="229"/>
      <c r="K64" s="229"/>
    </row>
    <row r="65" spans="1:13" s="248" customFormat="1" ht="12" customHeight="1" x14ac:dyDescent="0.2">
      <c r="B65" s="281" t="s">
        <v>420</v>
      </c>
      <c r="C65" s="278" t="s">
        <v>421</v>
      </c>
      <c r="D65" s="256">
        <v>4</v>
      </c>
      <c r="E65" s="235">
        <v>0.61728395061728392</v>
      </c>
      <c r="F65" s="235"/>
      <c r="G65" s="229"/>
      <c r="H65" s="221"/>
      <c r="I65" s="235"/>
      <c r="J65" s="229"/>
      <c r="K65" s="229"/>
    </row>
    <row r="66" spans="1:13" s="248" customFormat="1" ht="12" customHeight="1" x14ac:dyDescent="0.2">
      <c r="B66" s="281" t="s">
        <v>128</v>
      </c>
      <c r="C66" s="278" t="s">
        <v>129</v>
      </c>
      <c r="D66" s="256">
        <v>4</v>
      </c>
      <c r="E66" s="235">
        <v>2.4691358024691357E-2</v>
      </c>
      <c r="F66" s="235"/>
      <c r="G66" s="229"/>
      <c r="H66" s="215"/>
      <c r="I66" s="235"/>
      <c r="J66" s="229"/>
      <c r="K66" s="229"/>
    </row>
    <row r="67" spans="1:13" s="248" customFormat="1" ht="12" customHeight="1" x14ac:dyDescent="0.2">
      <c r="B67" s="271"/>
      <c r="C67" s="228"/>
      <c r="D67" s="282"/>
      <c r="E67" s="235">
        <v>0</v>
      </c>
      <c r="F67" s="235"/>
      <c r="G67" s="229"/>
      <c r="H67" s="244"/>
      <c r="I67" s="235"/>
      <c r="J67" s="229"/>
      <c r="K67" s="229"/>
    </row>
    <row r="68" spans="1:13" ht="12" customHeight="1" x14ac:dyDescent="0.2">
      <c r="B68" s="271"/>
      <c r="C68" s="234" t="s">
        <v>180</v>
      </c>
      <c r="D68" s="220"/>
      <c r="E68" s="220">
        <v>0</v>
      </c>
      <c r="F68" s="210"/>
      <c r="G68" s="222"/>
      <c r="I68" s="210"/>
      <c r="J68" s="229"/>
      <c r="K68" s="229"/>
      <c r="L68" s="248"/>
      <c r="M68" s="248"/>
    </row>
    <row r="69" spans="1:13" ht="12" customHeight="1" x14ac:dyDescent="0.2">
      <c r="B69" s="271" t="s">
        <v>178</v>
      </c>
      <c r="C69" s="283" t="s">
        <v>178</v>
      </c>
      <c r="D69" s="220">
        <v>0</v>
      </c>
      <c r="E69" s="210">
        <v>0</v>
      </c>
      <c r="F69" s="210"/>
      <c r="G69" s="222"/>
      <c r="H69" s="221"/>
      <c r="I69" s="210"/>
      <c r="J69" s="229"/>
      <c r="K69" s="248">
        <v>0</v>
      </c>
      <c r="L69" s="248"/>
      <c r="M69" s="248"/>
    </row>
    <row r="70" spans="1:13" ht="12" customHeight="1" x14ac:dyDescent="0.2">
      <c r="A70" s="193" t="s">
        <v>446</v>
      </c>
      <c r="B70" s="271">
        <v>9990544</v>
      </c>
      <c r="C70" s="220" t="s">
        <v>251</v>
      </c>
      <c r="D70" s="220">
        <v>1</v>
      </c>
      <c r="E70" s="210">
        <v>0</v>
      </c>
      <c r="F70" s="210"/>
      <c r="G70" s="222"/>
      <c r="H70" s="221"/>
      <c r="I70" s="210"/>
      <c r="J70" s="222"/>
      <c r="K70" s="193">
        <v>10</v>
      </c>
    </row>
    <row r="71" spans="1:13" ht="12" customHeight="1" x14ac:dyDescent="0.2">
      <c r="A71" s="193" t="s">
        <v>68</v>
      </c>
      <c r="B71" s="284" t="s">
        <v>485</v>
      </c>
      <c r="C71" s="265" t="s">
        <v>486</v>
      </c>
      <c r="D71" s="220">
        <v>1</v>
      </c>
      <c r="E71" s="210">
        <v>154.32098765432099</v>
      </c>
      <c r="F71" s="210"/>
      <c r="G71" s="222"/>
      <c r="H71" s="221"/>
      <c r="I71" s="210"/>
      <c r="J71" s="222"/>
      <c r="K71" s="193" t="s">
        <v>68</v>
      </c>
    </row>
    <row r="72" spans="1:13" ht="12" customHeight="1" x14ac:dyDescent="0.2">
      <c r="A72" s="193">
        <v>10</v>
      </c>
      <c r="B72" s="271">
        <v>6506327</v>
      </c>
      <c r="C72" s="220" t="s">
        <v>335</v>
      </c>
      <c r="D72" s="220">
        <v>1</v>
      </c>
      <c r="E72" s="210">
        <v>129.62962962962962</v>
      </c>
      <c r="F72" s="210"/>
      <c r="G72" s="222"/>
      <c r="H72" s="221"/>
      <c r="I72" s="210"/>
      <c r="J72" s="222"/>
      <c r="K72" s="222"/>
    </row>
    <row r="73" spans="1:13" ht="12" customHeight="1" x14ac:dyDescent="0.2">
      <c r="A73" s="193">
        <v>0</v>
      </c>
      <c r="B73" s="284" t="s">
        <v>153</v>
      </c>
      <c r="C73" s="265" t="s">
        <v>154</v>
      </c>
      <c r="D73" s="220">
        <v>1</v>
      </c>
      <c r="E73" s="210">
        <v>0</v>
      </c>
      <c r="F73" s="210"/>
      <c r="G73" s="222"/>
      <c r="H73" s="221"/>
      <c r="I73" s="210"/>
      <c r="J73" s="222"/>
      <c r="K73" s="222"/>
    </row>
    <row r="74" spans="1:13" ht="12" customHeight="1" x14ac:dyDescent="0.2">
      <c r="B74" s="271"/>
      <c r="C74" s="220"/>
      <c r="D74" s="220"/>
      <c r="E74" s="210">
        <v>0</v>
      </c>
      <c r="F74" s="210"/>
      <c r="G74" s="222"/>
      <c r="H74" s="221"/>
      <c r="I74" s="222"/>
      <c r="J74" s="222"/>
      <c r="K74" s="222"/>
    </row>
    <row r="75" spans="1:13" ht="12" customHeight="1" x14ac:dyDescent="0.2">
      <c r="B75" s="284"/>
      <c r="C75" s="285" t="s">
        <v>397</v>
      </c>
      <c r="D75" s="220"/>
      <c r="E75" s="210">
        <v>0</v>
      </c>
      <c r="F75" s="210"/>
      <c r="G75" s="222"/>
      <c r="H75" s="221"/>
      <c r="I75" s="222"/>
      <c r="J75" s="222"/>
      <c r="K75" s="222"/>
    </row>
    <row r="76" spans="1:13" ht="12" customHeight="1" x14ac:dyDescent="0.2">
      <c r="A76" s="193" t="s">
        <v>522</v>
      </c>
      <c r="B76" s="284" t="s">
        <v>800</v>
      </c>
      <c r="C76" s="265" t="s">
        <v>801</v>
      </c>
      <c r="D76" s="220">
        <v>1</v>
      </c>
      <c r="E76" s="210">
        <v>0</v>
      </c>
      <c r="F76" s="210"/>
      <c r="G76" s="222"/>
      <c r="H76" s="221"/>
      <c r="I76" s="210"/>
      <c r="J76" s="222"/>
      <c r="K76" s="222"/>
    </row>
    <row r="77" spans="1:13" ht="12" customHeight="1" x14ac:dyDescent="0.2">
      <c r="A77" s="193" t="s">
        <v>521</v>
      </c>
      <c r="B77" s="284" t="s">
        <v>802</v>
      </c>
      <c r="C77" s="265" t="s">
        <v>803</v>
      </c>
      <c r="D77" s="220">
        <v>1</v>
      </c>
      <c r="E77" s="210">
        <v>0</v>
      </c>
      <c r="F77" s="210"/>
      <c r="G77" s="222"/>
      <c r="H77" s="221"/>
      <c r="I77" s="210"/>
      <c r="J77" s="222"/>
      <c r="K77" s="222"/>
    </row>
    <row r="78" spans="1:13" ht="12" customHeight="1" x14ac:dyDescent="0.2">
      <c r="B78" s="284"/>
      <c r="C78" s="286"/>
      <c r="D78" s="238"/>
      <c r="E78" s="222"/>
      <c r="F78" s="222"/>
      <c r="G78" s="222"/>
      <c r="H78" s="221"/>
      <c r="I78" s="222"/>
      <c r="J78" s="222"/>
      <c r="K78" s="222"/>
    </row>
    <row r="79" spans="1:13" ht="12" customHeight="1" x14ac:dyDescent="0.2">
      <c r="B79" s="271"/>
      <c r="C79" s="236" t="s">
        <v>2</v>
      </c>
      <c r="D79" s="238"/>
      <c r="E79" s="238"/>
      <c r="F79" s="238"/>
      <c r="G79" s="238"/>
      <c r="I79" s="238"/>
      <c r="J79" s="238"/>
      <c r="K79" s="238"/>
    </row>
    <row r="80" spans="1:13" ht="12" customHeight="1" x14ac:dyDescent="0.2">
      <c r="B80" s="271">
        <v>136</v>
      </c>
      <c r="C80" s="220" t="s">
        <v>79</v>
      </c>
      <c r="D80" s="238">
        <v>1</v>
      </c>
      <c r="E80" s="239">
        <v>0</v>
      </c>
      <c r="F80" s="238"/>
      <c r="G80" s="239"/>
      <c r="H80" s="221"/>
      <c r="I80" s="238"/>
      <c r="J80" s="238"/>
      <c r="K80" s="238"/>
    </row>
    <row r="81" spans="2:11" ht="12" customHeight="1" x14ac:dyDescent="0.2">
      <c r="B81" s="271">
        <v>148</v>
      </c>
      <c r="C81" s="220" t="s">
        <v>80</v>
      </c>
      <c r="D81" s="238">
        <v>1</v>
      </c>
      <c r="E81" s="239">
        <v>0.05</v>
      </c>
      <c r="F81" s="238"/>
      <c r="G81" s="239"/>
      <c r="H81" s="221"/>
      <c r="I81" s="238"/>
      <c r="J81" s="238"/>
      <c r="K81" s="238"/>
    </row>
    <row r="82" spans="2:11" ht="12" customHeight="1" x14ac:dyDescent="0.2">
      <c r="B82" s="271">
        <v>160</v>
      </c>
      <c r="C82" s="220" t="s">
        <v>81</v>
      </c>
      <c r="D82" s="238">
        <v>1</v>
      </c>
      <c r="E82" s="239">
        <v>0.10249999999999999</v>
      </c>
      <c r="F82" s="238"/>
      <c r="G82" s="239"/>
      <c r="H82" s="221"/>
      <c r="I82" s="238"/>
      <c r="J82" s="238"/>
      <c r="K82" s="238"/>
    </row>
    <row r="83" spans="2:11" ht="12" customHeight="1" x14ac:dyDescent="0.2">
      <c r="B83" s="271" t="s">
        <v>24</v>
      </c>
      <c r="C83" s="220" t="s">
        <v>106</v>
      </c>
      <c r="D83" s="238">
        <v>1</v>
      </c>
      <c r="E83" s="239">
        <v>0.02</v>
      </c>
      <c r="F83" s="238"/>
      <c r="G83" s="239"/>
      <c r="H83" s="221"/>
      <c r="I83" s="238"/>
      <c r="J83" s="238"/>
      <c r="K83" s="238"/>
    </row>
    <row r="84" spans="2:11" ht="12" customHeight="1" x14ac:dyDescent="0.2">
      <c r="B84" s="271" t="s">
        <v>25</v>
      </c>
      <c r="C84" s="220" t="s">
        <v>32</v>
      </c>
      <c r="D84" s="238">
        <v>1</v>
      </c>
      <c r="E84" s="239">
        <v>0.10299999999999999</v>
      </c>
      <c r="F84" s="238"/>
      <c r="G84" s="239"/>
      <c r="H84" s="221"/>
      <c r="I84" s="238"/>
      <c r="J84" s="238"/>
      <c r="K84" s="238"/>
    </row>
    <row r="85" spans="2:11" ht="12" customHeight="1" x14ac:dyDescent="0.2">
      <c r="B85" s="271" t="s">
        <v>26</v>
      </c>
      <c r="C85" s="220" t="s">
        <v>172</v>
      </c>
      <c r="D85" s="238">
        <v>1</v>
      </c>
      <c r="E85" s="239">
        <v>0.193</v>
      </c>
      <c r="F85" s="238"/>
      <c r="G85" s="239"/>
      <c r="H85" s="221"/>
      <c r="I85" s="238"/>
      <c r="J85" s="238"/>
      <c r="K85" s="238"/>
    </row>
    <row r="86" spans="2:11" ht="12" customHeight="1" x14ac:dyDescent="0.2">
      <c r="B86" s="271" t="s">
        <v>27</v>
      </c>
      <c r="C86" s="220" t="s">
        <v>30</v>
      </c>
      <c r="D86" s="238">
        <v>1</v>
      </c>
      <c r="E86" s="239">
        <v>0.14419999999999999</v>
      </c>
      <c r="F86" s="238"/>
      <c r="G86" s="239"/>
      <c r="H86" s="221"/>
      <c r="I86" s="238"/>
      <c r="J86" s="238"/>
      <c r="K86" s="238"/>
    </row>
    <row r="87" spans="2:11" ht="12" customHeight="1" x14ac:dyDescent="0.2">
      <c r="B87" s="271" t="s">
        <v>28</v>
      </c>
      <c r="C87" s="220" t="s">
        <v>31</v>
      </c>
      <c r="D87" s="238">
        <v>1</v>
      </c>
      <c r="E87" s="239">
        <v>0.27250000000000002</v>
      </c>
      <c r="F87" s="238"/>
      <c r="G87" s="239"/>
      <c r="H87" s="221"/>
      <c r="I87" s="238"/>
      <c r="J87" s="238"/>
      <c r="K87" s="238"/>
    </row>
    <row r="88" spans="2:11" ht="12" customHeight="1" x14ac:dyDescent="0.2">
      <c r="B88" s="271" t="s">
        <v>190</v>
      </c>
      <c r="C88" s="220" t="s">
        <v>191</v>
      </c>
      <c r="D88" s="238">
        <v>1</v>
      </c>
      <c r="E88" s="239">
        <v>0.41799999999999998</v>
      </c>
      <c r="F88" s="238"/>
      <c r="G88" s="239"/>
      <c r="H88" s="221"/>
      <c r="I88" s="238"/>
      <c r="J88" s="238"/>
      <c r="K88" s="238"/>
    </row>
    <row r="89" spans="2:11" ht="12" customHeight="1" x14ac:dyDescent="0.2">
      <c r="B89" s="241"/>
      <c r="C89" s="238"/>
      <c r="D89" s="238"/>
      <c r="E89" s="238"/>
      <c r="F89" s="238"/>
      <c r="G89" s="238"/>
      <c r="I89" s="238"/>
      <c r="J89" s="238"/>
      <c r="K89" s="238"/>
    </row>
    <row r="90" spans="2:11" ht="12" customHeight="1" x14ac:dyDescent="0.2">
      <c r="B90" s="241"/>
      <c r="C90" s="238"/>
      <c r="D90" s="238"/>
      <c r="E90" s="238"/>
      <c r="F90" s="238"/>
      <c r="G90" s="238"/>
      <c r="I90" s="238"/>
      <c r="J90" s="238"/>
      <c r="K90" s="238"/>
    </row>
    <row r="91" spans="2:11" ht="12" customHeight="1" x14ac:dyDescent="0.2">
      <c r="B91" s="241"/>
      <c r="C91" s="238"/>
      <c r="D91" s="238"/>
      <c r="E91" s="238"/>
      <c r="F91" s="238"/>
      <c r="G91" s="238"/>
      <c r="I91" s="238"/>
      <c r="J91" s="238"/>
      <c r="K91" s="238"/>
    </row>
    <row r="92" spans="2:11" ht="12" customHeight="1" x14ac:dyDescent="0.2">
      <c r="B92" s="241"/>
      <c r="C92" s="238"/>
      <c r="D92" s="238"/>
      <c r="E92" s="238"/>
      <c r="F92" s="238"/>
      <c r="G92" s="238"/>
      <c r="I92" s="238"/>
      <c r="J92" s="238"/>
      <c r="K92" s="238"/>
    </row>
    <row r="93" spans="2:11" ht="12" customHeight="1" x14ac:dyDescent="0.2">
      <c r="B93" s="241"/>
      <c r="C93" s="238"/>
      <c r="D93" s="238"/>
      <c r="E93" s="238"/>
      <c r="F93" s="238"/>
      <c r="G93" s="238"/>
      <c r="I93" s="238"/>
      <c r="J93" s="238"/>
      <c r="K93" s="238"/>
    </row>
    <row r="94" spans="2:11" ht="12" customHeight="1" x14ac:dyDescent="0.2">
      <c r="B94" s="241"/>
      <c r="C94" s="238"/>
      <c r="D94" s="238"/>
      <c r="E94" s="238"/>
      <c r="F94" s="238"/>
      <c r="G94" s="238"/>
      <c r="I94" s="238"/>
      <c r="J94" s="238"/>
      <c r="K94" s="238"/>
    </row>
    <row r="95" spans="2:11" ht="12" customHeight="1" x14ac:dyDescent="0.2"/>
    <row r="96" spans="2:11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</sheetData>
  <sheetProtection algorithmName="SHA-512" hashValue="KO93WQcbJCkiGlwy/uq/bCHQC1/VM3MPA5Ib0Z8qM3CTRKb7qF6NNYGV/abIBik2PIqTDqPa6wWN56zWgEcjCg==" saltValue="3mJWyA3jmhADMGT8YP0J7Q==" spinCount="100000" sheet="1" objects="1" scenarios="1" selectLockedCells="1"/>
  <conditionalFormatting sqref="H1:H2 H45:H46 H61:H62 H49:H51 H89:H1048576 H37 H4:H10 H15 H12:H13 H19:H35 H67:H72 H74:H75 H79">
    <cfRule type="cellIs" dxfId="230" priority="67" operator="lessThan">
      <formula>-0.04</formula>
    </cfRule>
    <cfRule type="cellIs" dxfId="229" priority="68" operator="greaterThan">
      <formula>0.04</formula>
    </cfRule>
  </conditionalFormatting>
  <conditionalFormatting sqref="H66">
    <cfRule type="cellIs" dxfId="228" priority="55" operator="lessThan">
      <formula>-0.04</formula>
    </cfRule>
    <cfRule type="cellIs" dxfId="227" priority="56" operator="greaterThan">
      <formula>0.04</formula>
    </cfRule>
  </conditionalFormatting>
  <conditionalFormatting sqref="H25">
    <cfRule type="cellIs" dxfId="226" priority="53" operator="lessThan">
      <formula>-0.04</formula>
    </cfRule>
    <cfRule type="cellIs" dxfId="225" priority="54" operator="greaterThan">
      <formula>0.04</formula>
    </cfRule>
  </conditionalFormatting>
  <conditionalFormatting sqref="H26">
    <cfRule type="cellIs" dxfId="224" priority="51" operator="lessThan">
      <formula>-0.04</formula>
    </cfRule>
    <cfRule type="cellIs" dxfId="223" priority="52" operator="greaterThan">
      <formula>0.04</formula>
    </cfRule>
  </conditionalFormatting>
  <conditionalFormatting sqref="H80:H88 H63:H65 H52 H47:H48 H38:H44 H58:H59">
    <cfRule type="cellIs" dxfId="222" priority="45" operator="lessThan">
      <formula>-0.04</formula>
    </cfRule>
    <cfRule type="cellIs" dxfId="221" priority="46" operator="greaterThan">
      <formula>0.04</formula>
    </cfRule>
  </conditionalFormatting>
  <conditionalFormatting sqref="H36">
    <cfRule type="cellIs" dxfId="220" priority="43" operator="lessThan">
      <formula>-0.04</formula>
    </cfRule>
    <cfRule type="cellIs" dxfId="219" priority="44" operator="greaterThan">
      <formula>0.04</formula>
    </cfRule>
  </conditionalFormatting>
  <conditionalFormatting sqref="J1:J2 J4:J10 J15 J12:J13 J19:J52 J58:J59 J61:J72 J74:J75 J79:J1048576">
    <cfRule type="cellIs" dxfId="218" priority="41" operator="lessThan">
      <formula>-0.01</formula>
    </cfRule>
    <cfRule type="cellIs" dxfId="217" priority="42" operator="greaterThan">
      <formula>0.01</formula>
    </cfRule>
  </conditionalFormatting>
  <conditionalFormatting sqref="H60">
    <cfRule type="cellIs" dxfId="216" priority="39" operator="lessThan">
      <formula>-0.04</formula>
    </cfRule>
    <cfRule type="cellIs" dxfId="215" priority="40" operator="greaterThan">
      <formula>0.04</formula>
    </cfRule>
  </conditionalFormatting>
  <conditionalFormatting sqref="J60">
    <cfRule type="cellIs" dxfId="214" priority="37" operator="greaterThan">
      <formula>0.01</formula>
    </cfRule>
    <cfRule type="cellIs" dxfId="213" priority="38" operator="lessThan">
      <formula>-0.01</formula>
    </cfRule>
  </conditionalFormatting>
  <conditionalFormatting sqref="H14">
    <cfRule type="cellIs" dxfId="212" priority="35" operator="lessThan">
      <formula>-0.04</formula>
    </cfRule>
    <cfRule type="cellIs" dxfId="211" priority="36" operator="greaterThan">
      <formula>0.04</formula>
    </cfRule>
  </conditionalFormatting>
  <conditionalFormatting sqref="J14">
    <cfRule type="cellIs" dxfId="210" priority="33" operator="lessThan">
      <formula>-0.01</formula>
    </cfRule>
    <cfRule type="cellIs" dxfId="209" priority="34" operator="greaterThan">
      <formula>0.01</formula>
    </cfRule>
  </conditionalFormatting>
  <conditionalFormatting sqref="H11">
    <cfRule type="cellIs" dxfId="208" priority="31" operator="lessThan">
      <formula>-0.04</formula>
    </cfRule>
    <cfRule type="cellIs" dxfId="207" priority="32" operator="greaterThan">
      <formula>0.04</formula>
    </cfRule>
  </conditionalFormatting>
  <conditionalFormatting sqref="J11">
    <cfRule type="cellIs" dxfId="206" priority="29" operator="lessThan">
      <formula>-0.01</formula>
    </cfRule>
    <cfRule type="cellIs" dxfId="205" priority="30" operator="greaterThan">
      <formula>0.01</formula>
    </cfRule>
  </conditionalFormatting>
  <conditionalFormatting sqref="H16">
    <cfRule type="cellIs" dxfId="204" priority="27" operator="lessThan">
      <formula>-0.04</formula>
    </cfRule>
    <cfRule type="cellIs" dxfId="203" priority="28" operator="greaterThan">
      <formula>0.04</formula>
    </cfRule>
  </conditionalFormatting>
  <conditionalFormatting sqref="J16">
    <cfRule type="cellIs" dxfId="202" priority="25" operator="lessThan">
      <formula>-0.01</formula>
    </cfRule>
    <cfRule type="cellIs" dxfId="201" priority="26" operator="greaterThan">
      <formula>0.01</formula>
    </cfRule>
  </conditionalFormatting>
  <conditionalFormatting sqref="H17">
    <cfRule type="cellIs" dxfId="200" priority="23" operator="lessThan">
      <formula>-0.04</formula>
    </cfRule>
    <cfRule type="cellIs" dxfId="199" priority="24" operator="greaterThan">
      <formula>0.04</formula>
    </cfRule>
  </conditionalFormatting>
  <conditionalFormatting sqref="J17">
    <cfRule type="cellIs" dxfId="198" priority="21" operator="lessThan">
      <formula>-0.01</formula>
    </cfRule>
    <cfRule type="cellIs" dxfId="197" priority="22" operator="greaterThan">
      <formula>0.01</formula>
    </cfRule>
  </conditionalFormatting>
  <conditionalFormatting sqref="H18">
    <cfRule type="cellIs" dxfId="196" priority="19" operator="lessThan">
      <formula>-0.04</formula>
    </cfRule>
    <cfRule type="cellIs" dxfId="195" priority="20" operator="greaterThan">
      <formula>0.04</formula>
    </cfRule>
  </conditionalFormatting>
  <conditionalFormatting sqref="J18">
    <cfRule type="cellIs" dxfId="194" priority="17" operator="lessThan">
      <formula>-0.01</formula>
    </cfRule>
    <cfRule type="cellIs" dxfId="193" priority="18" operator="greaterThan">
      <formula>0.01</formula>
    </cfRule>
  </conditionalFormatting>
  <conditionalFormatting sqref="H53:H57">
    <cfRule type="cellIs" dxfId="192" priority="15" operator="lessThan">
      <formula>-0.04</formula>
    </cfRule>
    <cfRule type="cellIs" dxfId="191" priority="16" operator="greaterThan">
      <formula>0.04</formula>
    </cfRule>
  </conditionalFormatting>
  <conditionalFormatting sqref="J53:J57">
    <cfRule type="cellIs" dxfId="190" priority="13" operator="lessThan">
      <formula>-0.01</formula>
    </cfRule>
    <cfRule type="cellIs" dxfId="189" priority="14" operator="greaterThan">
      <formula>0.01</formula>
    </cfRule>
  </conditionalFormatting>
  <conditionalFormatting sqref="H76">
    <cfRule type="cellIs" dxfId="188" priority="11" operator="lessThan">
      <formula>-0.04</formula>
    </cfRule>
    <cfRule type="cellIs" dxfId="187" priority="12" operator="greaterThan">
      <formula>0.04</formula>
    </cfRule>
  </conditionalFormatting>
  <conditionalFormatting sqref="J76">
    <cfRule type="cellIs" dxfId="186" priority="9" operator="lessThan">
      <formula>-0.01</formula>
    </cfRule>
    <cfRule type="cellIs" dxfId="185" priority="10" operator="greaterThan">
      <formula>0.01</formula>
    </cfRule>
  </conditionalFormatting>
  <conditionalFormatting sqref="H77:H78">
    <cfRule type="cellIs" dxfId="184" priority="7" operator="lessThan">
      <formula>-0.04</formula>
    </cfRule>
    <cfRule type="cellIs" dxfId="183" priority="8" operator="greaterThan">
      <formula>0.04</formula>
    </cfRule>
  </conditionalFormatting>
  <conditionalFormatting sqref="J77:J78">
    <cfRule type="cellIs" dxfId="182" priority="5" operator="lessThan">
      <formula>-0.01</formula>
    </cfRule>
    <cfRule type="cellIs" dxfId="181" priority="6" operator="greaterThan">
      <formula>0.01</formula>
    </cfRule>
  </conditionalFormatting>
  <conditionalFormatting sqref="H73">
    <cfRule type="cellIs" dxfId="180" priority="3" operator="lessThan">
      <formula>-0.04</formula>
    </cfRule>
    <cfRule type="cellIs" dxfId="179" priority="4" operator="greaterThan">
      <formula>0.04</formula>
    </cfRule>
  </conditionalFormatting>
  <conditionalFormatting sqref="J73">
    <cfRule type="cellIs" dxfId="178" priority="1" operator="lessThan">
      <formula>-0.01</formula>
    </cfRule>
    <cfRule type="cellIs" dxfId="177" priority="2" operator="greaterThan">
      <formula>0.01</formula>
    </cfRule>
  </conditionalFormatting>
  <pageMargins left="0.17" right="0.19" top="0.17" bottom="0.18" header="0.17" footer="0.18"/>
  <pageSetup paperSize="9" scale="63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174"/>
  <sheetViews>
    <sheetView view="pageBreakPreview" zoomScaleNormal="100" zoomScaleSheetLayoutView="100" workbookViewId="0">
      <pane ySplit="3" topLeftCell="A4" activePane="bottomLeft" state="frozen"/>
      <selection activeCell="G2" sqref="G2:L2"/>
      <selection pane="bottomLeft" activeCell="G2" sqref="G2:L2"/>
    </sheetView>
  </sheetViews>
  <sheetFormatPr baseColWidth="10" defaultColWidth="11.42578125" defaultRowHeight="12.75" x14ac:dyDescent="0.2"/>
  <cols>
    <col min="1" max="1" width="14.140625" style="193" bestFit="1" customWidth="1"/>
    <col min="2" max="2" width="24.28515625" style="242" bestFit="1" customWidth="1"/>
    <col min="3" max="3" width="67.140625" style="193" customWidth="1"/>
    <col min="4" max="4" width="8.140625" style="197" bestFit="1" customWidth="1"/>
    <col min="5" max="5" width="21.85546875" style="193" customWidth="1"/>
    <col min="6" max="6" width="11.5703125" style="197" customWidth="1"/>
    <col min="7" max="7" width="16.28515625" style="243" customWidth="1"/>
    <col min="8" max="8" width="16.28515625" style="244" customWidth="1"/>
    <col min="9" max="11" width="16.28515625" style="197" customWidth="1"/>
    <col min="12" max="16384" width="11.42578125" style="193"/>
  </cols>
  <sheetData>
    <row r="1" spans="2:14" ht="23.45" customHeight="1" x14ac:dyDescent="0.2">
      <c r="B1" s="194" t="s">
        <v>808</v>
      </c>
      <c r="C1" s="195" t="s">
        <v>547</v>
      </c>
      <c r="D1" s="195"/>
      <c r="E1" s="196" t="s">
        <v>786</v>
      </c>
      <c r="G1" s="198"/>
      <c r="H1" s="199"/>
      <c r="I1" s="200"/>
      <c r="J1" s="200"/>
      <c r="K1" s="200"/>
    </row>
    <row r="2" spans="2:14" ht="45.6" customHeight="1" x14ac:dyDescent="0.2">
      <c r="B2" s="201" t="s">
        <v>176</v>
      </c>
      <c r="C2" s="202" t="s">
        <v>332</v>
      </c>
      <c r="D2" s="203"/>
      <c r="E2" s="203"/>
      <c r="F2" s="203"/>
      <c r="G2" s="204"/>
      <c r="H2" s="205"/>
      <c r="I2" s="206"/>
      <c r="J2" s="206"/>
      <c r="K2" s="206"/>
    </row>
    <row r="3" spans="2:14" s="207" customFormat="1" ht="12" x14ac:dyDescent="0.25">
      <c r="B3" s="208" t="s">
        <v>0</v>
      </c>
      <c r="C3" s="209" t="s">
        <v>5</v>
      </c>
      <c r="D3" s="209" t="s">
        <v>181</v>
      </c>
      <c r="E3" s="209" t="s">
        <v>456</v>
      </c>
      <c r="F3" s="209"/>
      <c r="G3" s="245"/>
      <c r="H3" s="211"/>
      <c r="I3" s="209"/>
      <c r="J3" s="209"/>
      <c r="K3" s="209"/>
    </row>
    <row r="4" spans="2:14" s="207" customFormat="1" ht="12" customHeight="1" x14ac:dyDescent="0.2">
      <c r="B4" s="212"/>
      <c r="C4" s="213" t="s">
        <v>177</v>
      </c>
      <c r="D4" s="246"/>
      <c r="E4" s="210"/>
      <c r="F4" s="210"/>
      <c r="G4" s="229"/>
      <c r="H4" s="215"/>
      <c r="I4" s="210"/>
      <c r="J4" s="216"/>
      <c r="K4" s="216"/>
      <c r="L4" s="217"/>
      <c r="M4" s="217"/>
      <c r="N4" s="217"/>
    </row>
    <row r="5" spans="2:14" s="218" customFormat="1" ht="12" customHeight="1" x14ac:dyDescent="0.2">
      <c r="B5" s="247" t="s">
        <v>369</v>
      </c>
      <c r="C5" s="220" t="s">
        <v>69</v>
      </c>
      <c r="D5" s="246">
        <v>1</v>
      </c>
      <c r="E5" s="235">
        <v>944.67901234567898</v>
      </c>
      <c r="F5" s="210"/>
      <c r="G5" s="222"/>
      <c r="H5" s="221"/>
      <c r="I5" s="210"/>
      <c r="J5" s="222"/>
      <c r="K5" s="222"/>
    </row>
    <row r="6" spans="2:14" s="218" customFormat="1" ht="12" customHeight="1" x14ac:dyDescent="0.2">
      <c r="B6" s="247" t="s">
        <v>370</v>
      </c>
      <c r="C6" s="220" t="s">
        <v>70</v>
      </c>
      <c r="D6" s="246">
        <v>1</v>
      </c>
      <c r="E6" s="235">
        <v>1150.2469135802469</v>
      </c>
      <c r="F6" s="210"/>
      <c r="G6" s="222"/>
      <c r="H6" s="221"/>
      <c r="I6" s="210"/>
      <c r="J6" s="222"/>
      <c r="K6" s="222"/>
      <c r="M6" s="223"/>
    </row>
    <row r="7" spans="2:14" s="218" customFormat="1" ht="12" customHeight="1" x14ac:dyDescent="0.2">
      <c r="B7" s="247" t="s">
        <v>363</v>
      </c>
      <c r="C7" s="220" t="s">
        <v>57</v>
      </c>
      <c r="D7" s="246">
        <v>1</v>
      </c>
      <c r="E7" s="235">
        <v>1209.5802469135801</v>
      </c>
      <c r="F7" s="210"/>
      <c r="G7" s="222"/>
      <c r="H7" s="221"/>
      <c r="I7" s="210"/>
      <c r="J7" s="222"/>
      <c r="K7" s="222"/>
    </row>
    <row r="8" spans="2:14" s="218" customFormat="1" ht="12" customHeight="1" x14ac:dyDescent="0.2">
      <c r="B8" s="247" t="s">
        <v>364</v>
      </c>
      <c r="C8" s="220" t="s">
        <v>58</v>
      </c>
      <c r="D8" s="246">
        <v>1</v>
      </c>
      <c r="E8" s="235">
        <v>1415.148148148148</v>
      </c>
      <c r="F8" s="210"/>
      <c r="G8" s="222"/>
      <c r="H8" s="221"/>
      <c r="I8" s="210"/>
      <c r="J8" s="222"/>
      <c r="K8" s="222"/>
    </row>
    <row r="9" spans="2:14" s="218" customFormat="1" ht="12" customHeight="1" x14ac:dyDescent="0.2">
      <c r="B9" s="247" t="s">
        <v>371</v>
      </c>
      <c r="C9" s="220" t="s">
        <v>71</v>
      </c>
      <c r="D9" s="246">
        <v>1</v>
      </c>
      <c r="E9" s="235">
        <v>1057.3209876543208</v>
      </c>
      <c r="F9" s="210"/>
      <c r="G9" s="222"/>
      <c r="H9" s="221"/>
      <c r="I9" s="210"/>
      <c r="J9" s="222"/>
      <c r="K9" s="222"/>
    </row>
    <row r="10" spans="2:14" s="218" customFormat="1" ht="12" customHeight="1" x14ac:dyDescent="0.2">
      <c r="B10" s="247" t="s">
        <v>372</v>
      </c>
      <c r="C10" s="220" t="s">
        <v>72</v>
      </c>
      <c r="D10" s="246">
        <v>1</v>
      </c>
      <c r="E10" s="235">
        <v>1315.4691358024691</v>
      </c>
      <c r="F10" s="210"/>
      <c r="G10" s="222"/>
      <c r="H10" s="221"/>
      <c r="I10" s="210"/>
      <c r="J10" s="222"/>
      <c r="K10" s="222"/>
    </row>
    <row r="11" spans="2:14" s="218" customFormat="1" ht="12" customHeight="1" x14ac:dyDescent="0.2">
      <c r="B11" s="247" t="s">
        <v>365</v>
      </c>
      <c r="C11" s="220" t="s">
        <v>59</v>
      </c>
      <c r="D11" s="246">
        <v>1</v>
      </c>
      <c r="E11" s="235">
        <v>1364.5925925925924</v>
      </c>
      <c r="F11" s="210"/>
      <c r="G11" s="222"/>
      <c r="H11" s="221"/>
      <c r="I11" s="210"/>
      <c r="J11" s="222"/>
      <c r="K11" s="222"/>
    </row>
    <row r="12" spans="2:14" s="218" customFormat="1" ht="12" customHeight="1" x14ac:dyDescent="0.2">
      <c r="B12" s="247" t="s">
        <v>366</v>
      </c>
      <c r="C12" s="220" t="s">
        <v>60</v>
      </c>
      <c r="D12" s="246">
        <v>1</v>
      </c>
      <c r="E12" s="235">
        <v>1622.7407407407406</v>
      </c>
      <c r="F12" s="210"/>
      <c r="G12" s="222"/>
      <c r="H12" s="221"/>
      <c r="I12" s="210"/>
      <c r="J12" s="222"/>
      <c r="K12" s="222"/>
    </row>
    <row r="13" spans="2:14" s="218" customFormat="1" ht="12" customHeight="1" x14ac:dyDescent="0.2">
      <c r="B13" s="247" t="s">
        <v>373</v>
      </c>
      <c r="C13" s="220" t="s">
        <v>73</v>
      </c>
      <c r="D13" s="246">
        <v>1</v>
      </c>
      <c r="E13" s="235">
        <v>1210.8024691358023</v>
      </c>
      <c r="F13" s="210"/>
      <c r="G13" s="222"/>
      <c r="H13" s="221"/>
      <c r="I13" s="210"/>
      <c r="J13" s="222"/>
      <c r="K13" s="222"/>
    </row>
    <row r="14" spans="2:14" s="218" customFormat="1" ht="12" customHeight="1" x14ac:dyDescent="0.2">
      <c r="B14" s="247" t="s">
        <v>367</v>
      </c>
      <c r="C14" s="220" t="s">
        <v>61</v>
      </c>
      <c r="D14" s="246">
        <v>1</v>
      </c>
      <c r="E14" s="235">
        <v>1681.7901234567901</v>
      </c>
      <c r="F14" s="210"/>
      <c r="G14" s="222"/>
      <c r="H14" s="221"/>
      <c r="I14" s="210"/>
      <c r="J14" s="222"/>
      <c r="K14" s="222"/>
    </row>
    <row r="15" spans="2:14" s="218" customFormat="1" ht="12" customHeight="1" x14ac:dyDescent="0.2">
      <c r="B15" s="247" t="s">
        <v>374</v>
      </c>
      <c r="C15" s="220" t="s">
        <v>74</v>
      </c>
      <c r="D15" s="246">
        <v>1</v>
      </c>
      <c r="E15" s="235">
        <v>1527.5185185185185</v>
      </c>
      <c r="F15" s="210"/>
      <c r="G15" s="222"/>
      <c r="H15" s="221"/>
      <c r="I15" s="210"/>
      <c r="J15" s="222"/>
      <c r="K15" s="222"/>
    </row>
    <row r="16" spans="2:14" s="218" customFormat="1" ht="12" customHeight="1" x14ac:dyDescent="0.2">
      <c r="B16" s="247" t="s">
        <v>368</v>
      </c>
      <c r="C16" s="220" t="s">
        <v>62</v>
      </c>
      <c r="D16" s="246">
        <v>1</v>
      </c>
      <c r="E16" s="235">
        <v>1998.4938271604938</v>
      </c>
      <c r="F16" s="210"/>
      <c r="G16" s="222"/>
      <c r="H16" s="221"/>
      <c r="I16" s="210"/>
      <c r="J16" s="222"/>
      <c r="K16" s="222"/>
    </row>
    <row r="17" spans="1:11" s="218" customFormat="1" ht="12" customHeight="1" x14ac:dyDescent="0.2">
      <c r="B17" s="224"/>
      <c r="C17" s="213" t="s">
        <v>185</v>
      </c>
      <c r="D17" s="220"/>
      <c r="E17" s="210">
        <v>0</v>
      </c>
      <c r="F17" s="210"/>
      <c r="G17" s="222"/>
      <c r="H17" s="221"/>
      <c r="I17" s="210"/>
      <c r="J17" s="222"/>
      <c r="K17" s="222"/>
    </row>
    <row r="18" spans="1:11" s="218" customFormat="1" ht="12" customHeight="1" x14ac:dyDescent="0.2">
      <c r="B18" s="224" t="s">
        <v>414</v>
      </c>
      <c r="C18" s="220" t="s">
        <v>415</v>
      </c>
      <c r="D18" s="220">
        <v>1</v>
      </c>
      <c r="E18" s="210">
        <v>17.098765432098762</v>
      </c>
      <c r="F18" s="210"/>
      <c r="G18" s="222"/>
      <c r="H18" s="221"/>
      <c r="I18" s="210"/>
      <c r="J18" s="222"/>
      <c r="K18" s="222"/>
    </row>
    <row r="19" spans="1:11" s="218" customFormat="1" ht="12" customHeight="1" x14ac:dyDescent="0.2">
      <c r="B19" s="224" t="s">
        <v>38</v>
      </c>
      <c r="C19" s="220" t="s">
        <v>39</v>
      </c>
      <c r="D19" s="220">
        <v>2</v>
      </c>
      <c r="E19" s="210">
        <v>0.68617283950617269</v>
      </c>
      <c r="F19" s="210"/>
      <c r="G19" s="222"/>
      <c r="H19" s="221"/>
      <c r="I19" s="210"/>
      <c r="J19" s="222"/>
      <c r="K19" s="222"/>
    </row>
    <row r="20" spans="1:11" s="218" customFormat="1" ht="12" customHeight="1" x14ac:dyDescent="0.2">
      <c r="B20" s="224" t="s">
        <v>265</v>
      </c>
      <c r="C20" s="220" t="s">
        <v>63</v>
      </c>
      <c r="D20" s="220">
        <v>4</v>
      </c>
      <c r="E20" s="210">
        <v>0.39382716049382716</v>
      </c>
      <c r="F20" s="210"/>
      <c r="G20" s="222"/>
      <c r="H20" s="221"/>
      <c r="I20" s="210"/>
      <c r="J20" s="222"/>
      <c r="K20" s="222"/>
    </row>
    <row r="21" spans="1:11" s="218" customFormat="1" ht="12" customHeight="1" x14ac:dyDescent="0.2">
      <c r="B21" s="224" t="s">
        <v>272</v>
      </c>
      <c r="C21" s="220" t="s">
        <v>248</v>
      </c>
      <c r="D21" s="220">
        <v>1</v>
      </c>
      <c r="E21" s="210">
        <v>0.49135802469135803</v>
      </c>
      <c r="F21" s="210"/>
      <c r="G21" s="222"/>
      <c r="H21" s="221"/>
      <c r="I21" s="210"/>
      <c r="J21" s="222"/>
      <c r="K21" s="222"/>
    </row>
    <row r="22" spans="1:11" s="218" customFormat="1" ht="12" customHeight="1" x14ac:dyDescent="0.2">
      <c r="B22" s="224" t="s">
        <v>322</v>
      </c>
      <c r="C22" s="220" t="s">
        <v>152</v>
      </c>
      <c r="D22" s="220">
        <v>1</v>
      </c>
      <c r="E22" s="210">
        <v>6.1728395061728394</v>
      </c>
      <c r="F22" s="210"/>
      <c r="G22" s="222"/>
      <c r="H22" s="221"/>
      <c r="I22" s="210"/>
      <c r="J22" s="222"/>
      <c r="K22" s="222"/>
    </row>
    <row r="23" spans="1:11" s="218" customFormat="1" ht="12" customHeight="1" x14ac:dyDescent="0.2">
      <c r="B23" s="224"/>
      <c r="C23" s="213" t="s">
        <v>186</v>
      </c>
      <c r="D23" s="220"/>
      <c r="E23" s="228">
        <v>0</v>
      </c>
      <c r="F23" s="210"/>
      <c r="G23" s="222"/>
      <c r="H23" s="221"/>
      <c r="I23" s="210"/>
      <c r="J23" s="222"/>
      <c r="K23" s="222"/>
    </row>
    <row r="24" spans="1:11" s="248" customFormat="1" ht="12" customHeight="1" x14ac:dyDescent="0.2">
      <c r="B24" s="247" t="s">
        <v>556</v>
      </c>
      <c r="C24" s="220" t="s">
        <v>557</v>
      </c>
      <c r="D24" s="228">
        <v>1</v>
      </c>
      <c r="E24" s="235">
        <v>0</v>
      </c>
      <c r="F24" s="235"/>
      <c r="G24" s="249"/>
      <c r="H24" s="250"/>
      <c r="I24" s="235"/>
      <c r="J24" s="229"/>
      <c r="K24" s="229"/>
    </row>
    <row r="25" spans="1:11" s="218" customFormat="1" ht="12" customHeight="1" x14ac:dyDescent="0.2">
      <c r="B25" s="212" t="s">
        <v>756</v>
      </c>
      <c r="C25" s="220" t="s">
        <v>255</v>
      </c>
      <c r="D25" s="227" t="s">
        <v>178</v>
      </c>
      <c r="E25" s="228">
        <v>0</v>
      </c>
      <c r="F25" s="210"/>
      <c r="G25" s="229"/>
      <c r="H25" s="215"/>
      <c r="I25" s="210"/>
      <c r="J25" s="222"/>
      <c r="K25" s="222"/>
    </row>
    <row r="26" spans="1:11" s="218" customFormat="1" ht="12" customHeight="1" x14ac:dyDescent="0.2">
      <c r="B26" s="212" t="s">
        <v>548</v>
      </c>
      <c r="C26" s="220" t="s">
        <v>254</v>
      </c>
      <c r="D26" s="227" t="s">
        <v>178</v>
      </c>
      <c r="E26" s="228">
        <v>0</v>
      </c>
      <c r="F26" s="210"/>
      <c r="G26" s="229"/>
      <c r="H26" s="215"/>
      <c r="I26" s="210"/>
      <c r="J26" s="222"/>
      <c r="K26" s="222"/>
    </row>
    <row r="27" spans="1:11" s="218" customFormat="1" ht="12" customHeight="1" x14ac:dyDescent="0.2">
      <c r="B27" s="219" t="s">
        <v>549</v>
      </c>
      <c r="C27" s="220" t="s">
        <v>552</v>
      </c>
      <c r="D27" s="227" t="s">
        <v>178</v>
      </c>
      <c r="E27" s="228">
        <v>0</v>
      </c>
      <c r="F27" s="210"/>
      <c r="G27" s="229"/>
      <c r="H27" s="215"/>
      <c r="I27" s="210"/>
      <c r="J27" s="222"/>
      <c r="K27" s="222"/>
    </row>
    <row r="28" spans="1:11" s="218" customFormat="1" ht="12" customHeight="1" x14ac:dyDescent="0.2">
      <c r="B28" s="219" t="s">
        <v>550</v>
      </c>
      <c r="C28" s="220" t="s">
        <v>551</v>
      </c>
      <c r="D28" s="227">
        <v>2</v>
      </c>
      <c r="E28" s="228">
        <v>0</v>
      </c>
      <c r="F28" s="210"/>
      <c r="G28" s="229"/>
      <c r="H28" s="215"/>
      <c r="I28" s="210"/>
      <c r="J28" s="222"/>
      <c r="K28" s="222"/>
    </row>
    <row r="29" spans="1:11" s="248" customFormat="1" ht="12" customHeight="1" x14ac:dyDescent="0.2">
      <c r="A29" s="251"/>
      <c r="B29" s="219" t="s">
        <v>225</v>
      </c>
      <c r="C29" s="228" t="s">
        <v>252</v>
      </c>
      <c r="D29" s="227">
        <v>1</v>
      </c>
      <c r="E29" s="252">
        <v>0</v>
      </c>
      <c r="F29" s="235"/>
      <c r="G29" s="229"/>
      <c r="H29" s="215"/>
      <c r="I29" s="235"/>
      <c r="J29" s="229"/>
      <c r="K29" s="229"/>
    </row>
    <row r="30" spans="1:11" ht="12" customHeight="1" x14ac:dyDescent="0.2">
      <c r="A30" s="231"/>
      <c r="B30" s="231"/>
      <c r="C30" s="231" t="s">
        <v>188</v>
      </c>
      <c r="D30" s="231"/>
      <c r="E30" s="231">
        <v>0</v>
      </c>
      <c r="F30" s="231"/>
      <c r="G30" s="231"/>
      <c r="H30" s="231"/>
      <c r="I30" s="231"/>
      <c r="J30" s="231"/>
      <c r="K30" s="231"/>
    </row>
    <row r="31" spans="1:11" s="248" customFormat="1" ht="12" customHeight="1" x14ac:dyDescent="0.2">
      <c r="B31" s="253" t="s">
        <v>178</v>
      </c>
      <c r="C31" s="254" t="s">
        <v>178</v>
      </c>
      <c r="D31" s="228">
        <v>1</v>
      </c>
      <c r="E31" s="210">
        <v>0</v>
      </c>
      <c r="F31" s="235"/>
      <c r="G31" s="249"/>
      <c r="H31" s="250"/>
      <c r="I31" s="235"/>
      <c r="J31" s="229"/>
      <c r="K31" s="229"/>
    </row>
    <row r="32" spans="1:11" s="248" customFormat="1" ht="12" customHeight="1" x14ac:dyDescent="0.2">
      <c r="C32" s="254" t="s">
        <v>553</v>
      </c>
      <c r="D32" s="228">
        <v>1</v>
      </c>
      <c r="E32" s="254">
        <v>0</v>
      </c>
      <c r="F32" s="235"/>
      <c r="G32" s="249"/>
      <c r="H32" s="250"/>
      <c r="I32" s="235"/>
      <c r="J32" s="229"/>
      <c r="K32" s="229"/>
    </row>
    <row r="33" spans="2:11" s="248" customFormat="1" ht="12" customHeight="1" x14ac:dyDescent="0.2">
      <c r="B33" s="212"/>
      <c r="C33" s="213" t="s">
        <v>226</v>
      </c>
      <c r="D33" s="228">
        <v>1</v>
      </c>
      <c r="E33" s="235">
        <v>0</v>
      </c>
      <c r="F33" s="235"/>
      <c r="G33" s="249"/>
      <c r="H33" s="250"/>
      <c r="I33" s="235"/>
      <c r="J33" s="229"/>
      <c r="K33" s="229"/>
    </row>
    <row r="34" spans="2:11" s="248" customFormat="1" ht="12" customHeight="1" x14ac:dyDescent="0.2">
      <c r="B34" s="212"/>
      <c r="C34" s="213" t="s">
        <v>67</v>
      </c>
      <c r="D34" s="228">
        <v>1</v>
      </c>
      <c r="E34" s="235">
        <v>0</v>
      </c>
      <c r="F34" s="235"/>
      <c r="G34" s="249"/>
      <c r="H34" s="250"/>
      <c r="I34" s="235"/>
      <c r="J34" s="229"/>
      <c r="K34" s="229"/>
    </row>
    <row r="35" spans="2:11" s="248" customFormat="1" ht="12" customHeight="1" x14ac:dyDescent="0.2">
      <c r="B35" s="212"/>
      <c r="C35" s="234" t="s">
        <v>553</v>
      </c>
      <c r="D35" s="228"/>
      <c r="E35" s="235">
        <v>0</v>
      </c>
      <c r="F35" s="235"/>
      <c r="G35" s="249"/>
      <c r="H35" s="250"/>
      <c r="I35" s="235"/>
      <c r="J35" s="229"/>
      <c r="K35" s="229"/>
    </row>
    <row r="36" spans="2:11" s="248" customFormat="1" ht="12" customHeight="1" x14ac:dyDescent="0.2">
      <c r="B36" s="247" t="s">
        <v>333</v>
      </c>
      <c r="C36" s="220" t="s">
        <v>334</v>
      </c>
      <c r="D36" s="228">
        <v>1</v>
      </c>
      <c r="E36" s="235">
        <v>22.56296296296296</v>
      </c>
      <c r="F36" s="235"/>
      <c r="G36" s="249"/>
      <c r="H36" s="221"/>
      <c r="I36" s="210"/>
      <c r="J36" s="229"/>
      <c r="K36" s="229"/>
    </row>
    <row r="37" spans="2:11" s="248" customFormat="1" ht="12" customHeight="1" x14ac:dyDescent="0.2">
      <c r="B37" s="247" t="s">
        <v>271</v>
      </c>
      <c r="C37" s="220" t="s">
        <v>554</v>
      </c>
      <c r="D37" s="228">
        <v>1</v>
      </c>
      <c r="E37" s="235">
        <v>4.9382716049382713</v>
      </c>
      <c r="F37" s="235"/>
      <c r="G37" s="249"/>
      <c r="H37" s="221"/>
      <c r="I37" s="210"/>
      <c r="J37" s="229"/>
      <c r="K37" s="229"/>
    </row>
    <row r="38" spans="2:11" s="248" customFormat="1" ht="12" customHeight="1" x14ac:dyDescent="0.2">
      <c r="B38" s="247" t="s">
        <v>336</v>
      </c>
      <c r="C38" s="220" t="s">
        <v>555</v>
      </c>
      <c r="D38" s="228">
        <v>1</v>
      </c>
      <c r="E38" s="235">
        <v>2.790123456790123</v>
      </c>
      <c r="F38" s="235"/>
      <c r="G38" s="249"/>
      <c r="H38" s="221"/>
      <c r="I38" s="210"/>
      <c r="J38" s="229"/>
      <c r="K38" s="229"/>
    </row>
    <row r="39" spans="2:11" s="248" customFormat="1" ht="12" customHeight="1" x14ac:dyDescent="0.2">
      <c r="B39" s="247" t="s">
        <v>262</v>
      </c>
      <c r="C39" s="220" t="s">
        <v>102</v>
      </c>
      <c r="D39" s="228">
        <v>1</v>
      </c>
      <c r="E39" s="235">
        <v>4.8765432098765435</v>
      </c>
      <c r="F39" s="235"/>
      <c r="G39" s="249"/>
      <c r="H39" s="221"/>
      <c r="I39" s="210"/>
      <c r="J39" s="229"/>
      <c r="K39" s="229"/>
    </row>
    <row r="40" spans="2:11" ht="12" customHeight="1" x14ac:dyDescent="0.2">
      <c r="B40" s="212"/>
      <c r="C40" s="234" t="s">
        <v>226</v>
      </c>
      <c r="D40" s="220"/>
      <c r="E40" s="210">
        <v>0</v>
      </c>
      <c r="F40" s="210"/>
      <c r="G40" s="222"/>
      <c r="H40" s="221"/>
      <c r="I40" s="210"/>
      <c r="J40" s="222"/>
      <c r="K40" s="222"/>
    </row>
    <row r="41" spans="2:11" ht="12" customHeight="1" x14ac:dyDescent="0.2">
      <c r="B41" s="219" t="s">
        <v>234</v>
      </c>
      <c r="C41" s="220" t="s">
        <v>235</v>
      </c>
      <c r="D41" s="220">
        <v>1</v>
      </c>
      <c r="E41" s="210">
        <v>43.470901234567897</v>
      </c>
      <c r="F41" s="210"/>
      <c r="G41" s="222"/>
      <c r="H41" s="221"/>
      <c r="I41" s="210"/>
      <c r="J41" s="222"/>
      <c r="K41" s="222"/>
    </row>
    <row r="42" spans="2:11" ht="12" customHeight="1" x14ac:dyDescent="0.2">
      <c r="B42" s="219" t="s">
        <v>268</v>
      </c>
      <c r="C42" s="220" t="s">
        <v>14</v>
      </c>
      <c r="D42" s="220">
        <v>1</v>
      </c>
      <c r="E42" s="210">
        <v>3.5432098765432096</v>
      </c>
      <c r="F42" s="210"/>
      <c r="G42" s="222"/>
      <c r="H42" s="221"/>
      <c r="I42" s="210"/>
      <c r="J42" s="222"/>
      <c r="K42" s="222"/>
    </row>
    <row r="43" spans="2:11" ht="12" customHeight="1" x14ac:dyDescent="0.2">
      <c r="B43" s="212"/>
      <c r="C43" s="234" t="s">
        <v>67</v>
      </c>
      <c r="D43" s="220">
        <v>1</v>
      </c>
      <c r="E43" s="223">
        <v>0</v>
      </c>
      <c r="F43" s="210"/>
      <c r="G43" s="222"/>
      <c r="H43" s="221"/>
      <c r="I43" s="210"/>
      <c r="J43" s="222"/>
      <c r="K43" s="222"/>
    </row>
    <row r="44" spans="2:11" ht="12" customHeight="1" x14ac:dyDescent="0.2">
      <c r="B44" s="219" t="s">
        <v>113</v>
      </c>
      <c r="C44" s="220" t="s">
        <v>424</v>
      </c>
      <c r="D44" s="220">
        <v>1</v>
      </c>
      <c r="E44" s="235">
        <v>19.012345679012345</v>
      </c>
      <c r="F44" s="210"/>
      <c r="G44" s="222"/>
      <c r="H44" s="221"/>
      <c r="I44" s="210"/>
      <c r="J44" s="222"/>
      <c r="K44" s="222"/>
    </row>
    <row r="45" spans="2:11" ht="12" customHeight="1" x14ac:dyDescent="0.2">
      <c r="D45" s="220"/>
      <c r="E45" s="210">
        <v>0</v>
      </c>
      <c r="F45" s="210"/>
      <c r="G45" s="222"/>
      <c r="H45" s="221"/>
      <c r="I45" s="210"/>
      <c r="J45" s="222"/>
      <c r="K45" s="222"/>
    </row>
    <row r="46" spans="2:11" ht="12" customHeight="1" x14ac:dyDescent="0.2">
      <c r="C46" s="234" t="s">
        <v>558</v>
      </c>
      <c r="D46" s="238"/>
      <c r="E46" s="222">
        <v>0</v>
      </c>
      <c r="F46" s="222"/>
      <c r="G46" s="222"/>
      <c r="H46" s="221"/>
      <c r="I46" s="210"/>
      <c r="J46" s="222"/>
      <c r="K46" s="222"/>
    </row>
    <row r="47" spans="2:11" ht="12" customHeight="1" x14ac:dyDescent="0.2">
      <c r="B47" s="247" t="s">
        <v>453</v>
      </c>
      <c r="C47" s="220" t="s">
        <v>454</v>
      </c>
      <c r="D47" s="255">
        <v>1</v>
      </c>
      <c r="E47" s="222">
        <v>5.5555555555555554</v>
      </c>
      <c r="F47" s="222"/>
      <c r="G47" s="222"/>
      <c r="H47" s="221"/>
      <c r="I47" s="210"/>
      <c r="J47" s="222"/>
      <c r="K47" s="222"/>
    </row>
    <row r="48" spans="2:11" ht="12" customHeight="1" x14ac:dyDescent="0.2">
      <c r="B48" s="247" t="s">
        <v>559</v>
      </c>
      <c r="C48" s="220" t="s">
        <v>560</v>
      </c>
      <c r="D48" s="256">
        <v>1</v>
      </c>
      <c r="E48" s="222">
        <v>3.5679012345679011</v>
      </c>
      <c r="F48" s="222"/>
      <c r="G48" s="222"/>
      <c r="H48" s="221"/>
      <c r="I48" s="210"/>
      <c r="J48" s="222"/>
      <c r="K48" s="222"/>
    </row>
    <row r="49" spans="2:11" ht="12" customHeight="1" x14ac:dyDescent="0.2">
      <c r="B49" s="257"/>
      <c r="C49" s="238"/>
      <c r="D49" s="258"/>
      <c r="E49" s="222"/>
      <c r="F49" s="222"/>
      <c r="G49" s="222"/>
      <c r="H49" s="221"/>
      <c r="I49" s="210"/>
      <c r="J49" s="222"/>
      <c r="K49" s="222"/>
    </row>
    <row r="50" spans="2:11" ht="12" customHeight="1" x14ac:dyDescent="0.2">
      <c r="B50" s="241"/>
      <c r="C50" s="236" t="s">
        <v>2</v>
      </c>
      <c r="D50" s="238"/>
      <c r="E50" s="238"/>
      <c r="F50" s="238"/>
      <c r="G50" s="222"/>
      <c r="H50" s="221"/>
      <c r="I50" s="238"/>
      <c r="J50" s="238"/>
      <c r="K50" s="238"/>
    </row>
    <row r="51" spans="2:11" ht="12" customHeight="1" x14ac:dyDescent="0.2">
      <c r="B51" s="259">
        <v>136</v>
      </c>
      <c r="C51" s="220" t="s">
        <v>79</v>
      </c>
      <c r="D51" s="238">
        <v>1</v>
      </c>
      <c r="E51" s="239">
        <v>0</v>
      </c>
      <c r="F51" s="238"/>
      <c r="G51" s="240"/>
      <c r="H51" s="221"/>
      <c r="I51" s="238"/>
      <c r="J51" s="238"/>
      <c r="K51" s="238"/>
    </row>
    <row r="52" spans="2:11" ht="12" customHeight="1" x14ac:dyDescent="0.2">
      <c r="B52" s="260">
        <v>148</v>
      </c>
      <c r="C52" s="220" t="s">
        <v>80</v>
      </c>
      <c r="D52" s="238">
        <v>1</v>
      </c>
      <c r="E52" s="239">
        <v>0.05</v>
      </c>
      <c r="F52" s="238"/>
      <c r="G52" s="240"/>
      <c r="H52" s="221"/>
      <c r="I52" s="238"/>
      <c r="J52" s="238"/>
      <c r="K52" s="238"/>
    </row>
    <row r="53" spans="2:11" ht="12" customHeight="1" x14ac:dyDescent="0.2">
      <c r="B53" s="260">
        <v>160</v>
      </c>
      <c r="C53" s="220" t="s">
        <v>81</v>
      </c>
      <c r="D53" s="238">
        <v>1</v>
      </c>
      <c r="E53" s="239">
        <v>0.10249999999999999</v>
      </c>
      <c r="F53" s="238"/>
      <c r="G53" s="240"/>
      <c r="H53" s="221"/>
      <c r="I53" s="238"/>
      <c r="J53" s="238"/>
      <c r="K53" s="238"/>
    </row>
    <row r="54" spans="2:11" ht="12" customHeight="1" x14ac:dyDescent="0.2">
      <c r="B54" s="260" t="s">
        <v>24</v>
      </c>
      <c r="C54" s="220" t="s">
        <v>106</v>
      </c>
      <c r="D54" s="238">
        <v>1</v>
      </c>
      <c r="E54" s="239">
        <v>0.02</v>
      </c>
      <c r="F54" s="238"/>
      <c r="G54" s="240"/>
      <c r="H54" s="221"/>
      <c r="I54" s="238"/>
      <c r="J54" s="238"/>
      <c r="K54" s="238"/>
    </row>
    <row r="55" spans="2:11" ht="12" customHeight="1" x14ac:dyDescent="0.2">
      <c r="B55" s="260" t="s">
        <v>25</v>
      </c>
      <c r="C55" s="220" t="s">
        <v>32</v>
      </c>
      <c r="D55" s="238">
        <v>1</v>
      </c>
      <c r="E55" s="239">
        <v>0.10299999999999999</v>
      </c>
      <c r="F55" s="238"/>
      <c r="G55" s="240"/>
      <c r="H55" s="221"/>
      <c r="I55" s="238"/>
      <c r="J55" s="238"/>
      <c r="K55" s="238"/>
    </row>
    <row r="56" spans="2:11" ht="12" customHeight="1" x14ac:dyDescent="0.2">
      <c r="B56" s="260" t="s">
        <v>26</v>
      </c>
      <c r="C56" s="220" t="s">
        <v>172</v>
      </c>
      <c r="D56" s="238">
        <v>1</v>
      </c>
      <c r="E56" s="239">
        <v>0.193</v>
      </c>
      <c r="F56" s="238"/>
      <c r="G56" s="240"/>
      <c r="H56" s="221"/>
      <c r="I56" s="238"/>
      <c r="J56" s="238"/>
      <c r="K56" s="238"/>
    </row>
    <row r="57" spans="2:11" ht="12" customHeight="1" x14ac:dyDescent="0.2">
      <c r="B57" s="260" t="s">
        <v>27</v>
      </c>
      <c r="C57" s="220" t="s">
        <v>30</v>
      </c>
      <c r="D57" s="238">
        <v>1</v>
      </c>
      <c r="E57" s="239">
        <v>0.14419999999999999</v>
      </c>
      <c r="F57" s="238"/>
      <c r="G57" s="240"/>
      <c r="H57" s="221"/>
      <c r="I57" s="238"/>
      <c r="J57" s="238"/>
      <c r="K57" s="238"/>
    </row>
    <row r="58" spans="2:11" ht="12" customHeight="1" x14ac:dyDescent="0.2">
      <c r="B58" s="260" t="s">
        <v>28</v>
      </c>
      <c r="C58" s="220" t="s">
        <v>31</v>
      </c>
      <c r="D58" s="238">
        <v>1</v>
      </c>
      <c r="E58" s="239">
        <v>0.27250000000000002</v>
      </c>
      <c r="F58" s="238"/>
      <c r="G58" s="240"/>
      <c r="H58" s="221"/>
      <c r="I58" s="238"/>
      <c r="J58" s="238"/>
      <c r="K58" s="238"/>
    </row>
    <row r="59" spans="2:11" ht="12" customHeight="1" x14ac:dyDescent="0.2">
      <c r="B59" s="260" t="s">
        <v>190</v>
      </c>
      <c r="C59" s="220" t="s">
        <v>191</v>
      </c>
      <c r="D59" s="238">
        <v>1</v>
      </c>
      <c r="E59" s="239">
        <v>0.41799999999999998</v>
      </c>
      <c r="F59" s="238"/>
      <c r="G59" s="240"/>
      <c r="H59" s="221"/>
      <c r="I59" s="238"/>
      <c r="J59" s="238"/>
      <c r="K59" s="238"/>
    </row>
    <row r="60" spans="2:11" ht="12" customHeight="1" x14ac:dyDescent="0.2">
      <c r="B60" s="241"/>
      <c r="C60" s="238"/>
      <c r="D60" s="238"/>
      <c r="E60" s="238"/>
      <c r="F60" s="238"/>
      <c r="G60" s="222"/>
      <c r="H60" s="221"/>
      <c r="I60" s="238"/>
      <c r="J60" s="238"/>
      <c r="K60" s="238"/>
    </row>
    <row r="61" spans="2:11" ht="12" customHeight="1" x14ac:dyDescent="0.2">
      <c r="B61" s="241"/>
      <c r="C61" s="238"/>
      <c r="D61" s="238"/>
      <c r="E61" s="238"/>
      <c r="F61" s="238"/>
      <c r="G61" s="222"/>
      <c r="H61" s="221"/>
      <c r="I61" s="238"/>
      <c r="J61" s="238"/>
      <c r="K61" s="238"/>
    </row>
    <row r="62" spans="2:11" ht="12" customHeight="1" x14ac:dyDescent="0.2">
      <c r="B62" s="241"/>
      <c r="C62" s="238"/>
      <c r="D62" s="238"/>
      <c r="E62" s="238"/>
      <c r="F62" s="238"/>
      <c r="G62" s="222"/>
      <c r="H62" s="221"/>
      <c r="I62" s="238"/>
      <c r="J62" s="238"/>
      <c r="K62" s="238"/>
    </row>
    <row r="63" spans="2:11" ht="12" customHeight="1" x14ac:dyDescent="0.2">
      <c r="B63" s="241"/>
      <c r="C63" s="238"/>
      <c r="D63" s="238"/>
      <c r="E63" s="238"/>
      <c r="F63" s="238"/>
      <c r="G63" s="222"/>
      <c r="H63" s="221"/>
      <c r="I63" s="238"/>
      <c r="J63" s="238"/>
      <c r="K63" s="238"/>
    </row>
    <row r="64" spans="2:11" ht="12" customHeight="1" x14ac:dyDescent="0.2">
      <c r="B64" s="241"/>
      <c r="C64" s="238"/>
      <c r="D64" s="238"/>
      <c r="E64" s="238"/>
      <c r="F64" s="238"/>
      <c r="G64" s="222"/>
      <c r="H64" s="221"/>
      <c r="I64" s="238"/>
      <c r="J64" s="238"/>
      <c r="K64" s="238"/>
    </row>
    <row r="65" spans="2:11" ht="12" customHeight="1" x14ac:dyDescent="0.2">
      <c r="B65" s="241"/>
      <c r="C65" s="238"/>
      <c r="D65" s="238"/>
      <c r="E65" s="238"/>
      <c r="F65" s="238"/>
      <c r="G65" s="222"/>
      <c r="H65" s="221"/>
      <c r="I65" s="238"/>
      <c r="J65" s="238"/>
      <c r="K65" s="238"/>
    </row>
    <row r="66" spans="2:11" ht="12" customHeight="1" x14ac:dyDescent="0.2"/>
    <row r="67" spans="2:11" ht="12" customHeight="1" x14ac:dyDescent="0.2"/>
    <row r="68" spans="2:11" ht="12" customHeight="1" x14ac:dyDescent="0.2"/>
    <row r="69" spans="2:11" ht="12" customHeight="1" x14ac:dyDescent="0.2"/>
    <row r="70" spans="2:11" ht="12" customHeight="1" x14ac:dyDescent="0.2"/>
    <row r="71" spans="2:11" ht="12" customHeight="1" x14ac:dyDescent="0.2"/>
    <row r="72" spans="2:11" ht="12" customHeight="1" x14ac:dyDescent="0.2"/>
    <row r="73" spans="2:11" ht="12" customHeight="1" x14ac:dyDescent="0.2"/>
    <row r="74" spans="2:11" ht="12" customHeight="1" x14ac:dyDescent="0.2"/>
    <row r="75" spans="2:11" ht="12" customHeight="1" x14ac:dyDescent="0.2"/>
    <row r="76" spans="2:11" ht="12" customHeight="1" x14ac:dyDescent="0.2"/>
    <row r="77" spans="2:11" ht="12" customHeight="1" x14ac:dyDescent="0.2"/>
    <row r="78" spans="2:11" ht="12" customHeight="1" x14ac:dyDescent="0.2"/>
    <row r="79" spans="2:11" ht="12" customHeight="1" x14ac:dyDescent="0.2"/>
    <row r="80" spans="2:11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</sheetData>
  <sheetProtection algorithmName="SHA-512" hashValue="C5uqjC2dJ+1Ow8yW2lc20iQSfCKwNAHFZFxtnDll6MoZUQsCkKaPpFvushulM2RV9AyraXq+Cr/NDBQrIrNWKA==" saltValue="JIUr03d3bJhyI2wKqflb2Q==" spinCount="100000" sheet="1" objects="1" scenarios="1" selectLockedCells="1"/>
  <conditionalFormatting sqref="H1:H2 H45:H46 H25:H29 H31:H35 H49:H1048576 H4:H23">
    <cfRule type="cellIs" dxfId="176" priority="21" operator="lessThan">
      <formula>-0.04</formula>
    </cfRule>
    <cfRule type="cellIs" dxfId="175" priority="22" operator="greaterThan">
      <formula>0.04</formula>
    </cfRule>
  </conditionalFormatting>
  <conditionalFormatting sqref="H5:H22">
    <cfRule type="cellIs" dxfId="174" priority="19" operator="lessThan">
      <formula>-0.04</formula>
    </cfRule>
    <cfRule type="cellIs" dxfId="173" priority="20" operator="greaterThan">
      <formula>0.04</formula>
    </cfRule>
  </conditionalFormatting>
  <conditionalFormatting sqref="H36:H44">
    <cfRule type="cellIs" dxfId="172" priority="17" operator="lessThan">
      <formula>-0.04</formula>
    </cfRule>
    <cfRule type="cellIs" dxfId="171" priority="18" operator="greaterThan">
      <formula>0.04</formula>
    </cfRule>
  </conditionalFormatting>
  <conditionalFormatting sqref="H36:H44">
    <cfRule type="cellIs" dxfId="170" priority="15" operator="lessThan">
      <formula>-0.04</formula>
    </cfRule>
    <cfRule type="cellIs" dxfId="169" priority="16" operator="greaterThan">
      <formula>0.04</formula>
    </cfRule>
  </conditionalFormatting>
  <conditionalFormatting sqref="J1:J2 J25:J1048576 J4:J23">
    <cfRule type="cellIs" dxfId="168" priority="13" operator="lessThan">
      <formula>-0.01</formula>
    </cfRule>
    <cfRule type="cellIs" dxfId="167" priority="14" operator="greaterThan">
      <formula>0.01</formula>
    </cfRule>
  </conditionalFormatting>
  <conditionalFormatting sqref="H24">
    <cfRule type="cellIs" dxfId="166" priority="11" operator="lessThan">
      <formula>-0.04</formula>
    </cfRule>
    <cfRule type="cellIs" dxfId="165" priority="12" operator="greaterThan">
      <formula>0.04</formula>
    </cfRule>
  </conditionalFormatting>
  <conditionalFormatting sqref="J24">
    <cfRule type="cellIs" dxfId="164" priority="9" operator="lessThan">
      <formula>-0.01</formula>
    </cfRule>
    <cfRule type="cellIs" dxfId="163" priority="10" operator="greaterThan">
      <formula>0.01</formula>
    </cfRule>
  </conditionalFormatting>
  <conditionalFormatting sqref="H47">
    <cfRule type="cellIs" dxfId="162" priority="7" operator="lessThan">
      <formula>-0.04</formula>
    </cfRule>
    <cfRule type="cellIs" dxfId="161" priority="8" operator="greaterThan">
      <formula>0.04</formula>
    </cfRule>
  </conditionalFormatting>
  <conditionalFormatting sqref="H47">
    <cfRule type="cellIs" dxfId="160" priority="5" operator="lessThan">
      <formula>-0.04</formula>
    </cfRule>
    <cfRule type="cellIs" dxfId="159" priority="6" operator="greaterThan">
      <formula>0.04</formula>
    </cfRule>
  </conditionalFormatting>
  <conditionalFormatting sqref="H48">
    <cfRule type="cellIs" dxfId="158" priority="3" operator="lessThan">
      <formula>-0.04</formula>
    </cfRule>
    <cfRule type="cellIs" dxfId="157" priority="4" operator="greaterThan">
      <formula>0.04</formula>
    </cfRule>
  </conditionalFormatting>
  <conditionalFormatting sqref="H48">
    <cfRule type="cellIs" dxfId="156" priority="1" operator="lessThan">
      <formula>-0.04</formula>
    </cfRule>
    <cfRule type="cellIs" dxfId="155" priority="2" operator="greaterThan">
      <formula>0.04</formula>
    </cfRule>
  </conditionalFormatting>
  <pageMargins left="0.17" right="0.19" top="0.17" bottom="0.18" header="0.17" footer="0.18"/>
  <pageSetup paperSize="9" scale="62" fitToHeight="0" orientation="landscape" horizontalDpi="4294967294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157"/>
  <sheetViews>
    <sheetView view="pageBreakPreview" zoomScaleNormal="100" zoomScaleSheetLayoutView="100" workbookViewId="0">
      <pane ySplit="3" topLeftCell="A4" activePane="bottomLeft" state="frozen"/>
      <selection activeCell="G2" sqref="G2:L2"/>
      <selection pane="bottomLeft" activeCell="G2" sqref="G2:L2"/>
    </sheetView>
  </sheetViews>
  <sheetFormatPr baseColWidth="10" defaultColWidth="11.42578125" defaultRowHeight="12.75" x14ac:dyDescent="0.2"/>
  <cols>
    <col min="1" max="1" width="14.140625" style="193" bestFit="1" customWidth="1"/>
    <col min="2" max="2" width="24.28515625" style="242" bestFit="1" customWidth="1"/>
    <col min="3" max="3" width="67.140625" style="193" customWidth="1"/>
    <col min="4" max="4" width="8.140625" style="197" bestFit="1" customWidth="1"/>
    <col min="5" max="5" width="21.85546875" style="193" customWidth="1"/>
    <col min="6" max="6" width="11.5703125" style="197" customWidth="1"/>
    <col min="7" max="7" width="16.28515625" style="243" customWidth="1"/>
    <col min="8" max="8" width="16.28515625" style="244" customWidth="1"/>
    <col min="9" max="11" width="16.28515625" style="197" customWidth="1"/>
    <col min="12" max="16384" width="11.42578125" style="193"/>
  </cols>
  <sheetData>
    <row r="1" spans="1:14" ht="23.45" customHeight="1" x14ac:dyDescent="0.2">
      <c r="B1" s="194" t="s">
        <v>808</v>
      </c>
      <c r="C1" s="195" t="s">
        <v>378</v>
      </c>
      <c r="D1" s="195"/>
      <c r="E1" s="196" t="s">
        <v>477</v>
      </c>
      <c r="G1" s="198"/>
      <c r="H1" s="199"/>
      <c r="I1" s="200"/>
      <c r="J1" s="200"/>
      <c r="K1" s="200"/>
    </row>
    <row r="2" spans="1:14" ht="45.6" customHeight="1" x14ac:dyDescent="0.2">
      <c r="B2" s="201" t="s">
        <v>176</v>
      </c>
      <c r="C2" s="202" t="s">
        <v>379</v>
      </c>
      <c r="D2" s="203"/>
      <c r="E2" s="203"/>
      <c r="F2" s="203"/>
      <c r="G2" s="204"/>
      <c r="H2" s="205"/>
      <c r="I2" s="206"/>
      <c r="J2" s="206"/>
      <c r="K2" s="206"/>
    </row>
    <row r="3" spans="1:14" s="207" customFormat="1" ht="12" x14ac:dyDescent="0.25">
      <c r="B3" s="208" t="s">
        <v>0</v>
      </c>
      <c r="C3" s="209" t="s">
        <v>5</v>
      </c>
      <c r="D3" s="209" t="s">
        <v>181</v>
      </c>
      <c r="E3" s="209" t="s">
        <v>456</v>
      </c>
      <c r="F3" s="209"/>
      <c r="G3" s="210"/>
      <c r="H3" s="211"/>
      <c r="I3" s="209"/>
      <c r="J3" s="209"/>
      <c r="K3" s="209"/>
    </row>
    <row r="4" spans="1:14" s="207" customFormat="1" ht="12" x14ac:dyDescent="0.2">
      <c r="B4" s="212"/>
      <c r="C4" s="213" t="s">
        <v>177</v>
      </c>
      <c r="D4" s="214">
        <v>1</v>
      </c>
      <c r="E4" s="210"/>
      <c r="F4" s="210"/>
      <c r="G4" s="210"/>
      <c r="H4" s="215"/>
      <c r="I4" s="210"/>
      <c r="J4" s="216"/>
      <c r="K4" s="216"/>
      <c r="L4" s="217"/>
      <c r="M4" s="217"/>
      <c r="N4" s="217"/>
    </row>
    <row r="5" spans="1:14" s="218" customFormat="1" ht="12" x14ac:dyDescent="0.2">
      <c r="A5" s="218" t="s">
        <v>110</v>
      </c>
      <c r="B5" s="219" t="s">
        <v>108</v>
      </c>
      <c r="C5" s="220" t="s">
        <v>381</v>
      </c>
      <c r="D5" s="214">
        <v>1</v>
      </c>
      <c r="E5" s="210">
        <v>370.37037037037032</v>
      </c>
      <c r="F5" s="210"/>
      <c r="G5" s="210"/>
      <c r="H5" s="221"/>
      <c r="I5" s="210"/>
      <c r="J5" s="222"/>
      <c r="K5" s="222"/>
    </row>
    <row r="6" spans="1:14" s="218" customFormat="1" ht="12" x14ac:dyDescent="0.2">
      <c r="A6" s="218" t="s">
        <v>111</v>
      </c>
      <c r="B6" s="219" t="s">
        <v>109</v>
      </c>
      <c r="C6" s="220" t="s">
        <v>382</v>
      </c>
      <c r="D6" s="214">
        <v>1</v>
      </c>
      <c r="E6" s="210">
        <v>592.59259259259261</v>
      </c>
      <c r="F6" s="210"/>
      <c r="G6" s="210"/>
      <c r="H6" s="221"/>
      <c r="I6" s="210"/>
      <c r="J6" s="222"/>
      <c r="K6" s="222"/>
      <c r="M6" s="223"/>
    </row>
    <row r="7" spans="1:14" s="218" customFormat="1" ht="12" x14ac:dyDescent="0.2">
      <c r="B7" s="224"/>
      <c r="C7" s="213" t="s">
        <v>185</v>
      </c>
      <c r="D7" s="225"/>
      <c r="E7" s="210">
        <v>0</v>
      </c>
      <c r="F7" s="210"/>
      <c r="G7" s="210"/>
      <c r="H7" s="221"/>
      <c r="I7" s="210"/>
      <c r="J7" s="222"/>
      <c r="K7" s="222"/>
    </row>
    <row r="8" spans="1:14" s="218" customFormat="1" ht="12" x14ac:dyDescent="0.2">
      <c r="B8" s="224">
        <v>3810041</v>
      </c>
      <c r="C8" s="220" t="s">
        <v>15</v>
      </c>
      <c r="D8" s="225">
        <v>1</v>
      </c>
      <c r="E8" s="210">
        <v>3.691358024691358</v>
      </c>
      <c r="F8" s="210"/>
      <c r="G8" s="210"/>
      <c r="H8" s="221"/>
      <c r="I8" s="210"/>
      <c r="J8" s="222"/>
      <c r="K8" s="222"/>
    </row>
    <row r="9" spans="1:14" s="218" customFormat="1" ht="12" x14ac:dyDescent="0.2">
      <c r="B9" s="224" t="s">
        <v>114</v>
      </c>
      <c r="C9" s="220" t="s">
        <v>431</v>
      </c>
      <c r="D9" s="225">
        <v>1</v>
      </c>
      <c r="E9" s="210">
        <v>0</v>
      </c>
      <c r="F9" s="210"/>
      <c r="G9" s="210"/>
      <c r="H9" s="221"/>
      <c r="I9" s="210"/>
      <c r="J9" s="222"/>
      <c r="K9" s="222"/>
    </row>
    <row r="10" spans="1:14" s="218" customFormat="1" ht="12" x14ac:dyDescent="0.2">
      <c r="B10" s="224" t="s">
        <v>115</v>
      </c>
      <c r="C10" s="220" t="s">
        <v>432</v>
      </c>
      <c r="D10" s="225">
        <v>1</v>
      </c>
      <c r="E10" s="210">
        <v>0</v>
      </c>
      <c r="F10" s="210"/>
      <c r="G10" s="210"/>
      <c r="H10" s="221"/>
      <c r="I10" s="210"/>
      <c r="J10" s="222"/>
      <c r="K10" s="222"/>
    </row>
    <row r="11" spans="1:14" s="218" customFormat="1" ht="12" x14ac:dyDescent="0.2">
      <c r="B11" s="226" t="s">
        <v>38</v>
      </c>
      <c r="C11" s="220" t="s">
        <v>433</v>
      </c>
      <c r="D11" s="225">
        <v>2</v>
      </c>
      <c r="E11" s="210">
        <v>0.68617283950617269</v>
      </c>
      <c r="F11" s="210"/>
      <c r="G11" s="210"/>
      <c r="H11" s="221"/>
      <c r="I11" s="210"/>
      <c r="J11" s="222"/>
      <c r="K11" s="222"/>
    </row>
    <row r="12" spans="1:14" s="218" customFormat="1" ht="12" x14ac:dyDescent="0.2">
      <c r="B12" s="224" t="s">
        <v>414</v>
      </c>
      <c r="C12" s="220" t="s">
        <v>415</v>
      </c>
      <c r="D12" s="225">
        <v>1</v>
      </c>
      <c r="E12" s="210">
        <v>17.098765432098762</v>
      </c>
      <c r="F12" s="210"/>
      <c r="G12" s="210"/>
      <c r="H12" s="221"/>
      <c r="I12" s="210"/>
      <c r="J12" s="222"/>
      <c r="K12" s="222"/>
    </row>
    <row r="13" spans="1:14" s="218" customFormat="1" ht="12" x14ac:dyDescent="0.2">
      <c r="B13" s="224" t="s">
        <v>322</v>
      </c>
      <c r="C13" s="220" t="s">
        <v>434</v>
      </c>
      <c r="D13" s="225">
        <v>1</v>
      </c>
      <c r="E13" s="210">
        <v>6.1728395061728394</v>
      </c>
      <c r="F13" s="210"/>
      <c r="G13" s="210"/>
      <c r="H13" s="221"/>
      <c r="I13" s="210"/>
      <c r="J13" s="222"/>
      <c r="K13" s="222"/>
    </row>
    <row r="14" spans="1:14" s="218" customFormat="1" ht="12" x14ac:dyDescent="0.2">
      <c r="B14" s="224"/>
      <c r="C14" s="213" t="s">
        <v>186</v>
      </c>
      <c r="D14" s="225"/>
      <c r="E14" s="220">
        <v>0</v>
      </c>
      <c r="F14" s="210"/>
      <c r="G14" s="210"/>
      <c r="H14" s="221"/>
      <c r="I14" s="210"/>
      <c r="J14" s="222"/>
      <c r="K14" s="222"/>
    </row>
    <row r="15" spans="1:14" s="218" customFormat="1" ht="12" x14ac:dyDescent="0.2">
      <c r="A15" s="218" t="s">
        <v>380</v>
      </c>
      <c r="B15" s="212" t="s">
        <v>429</v>
      </c>
      <c r="C15" s="220" t="s">
        <v>435</v>
      </c>
      <c r="D15" s="227">
        <v>1</v>
      </c>
      <c r="E15" s="228">
        <v>0</v>
      </c>
      <c r="F15" s="210"/>
      <c r="G15" s="210"/>
      <c r="H15" s="215"/>
      <c r="I15" s="210"/>
      <c r="J15" s="222"/>
      <c r="K15" s="222"/>
    </row>
    <row r="16" spans="1:14" s="218" customFormat="1" ht="12" x14ac:dyDescent="0.2">
      <c r="A16" s="218" t="s">
        <v>383</v>
      </c>
      <c r="B16" s="212" t="s">
        <v>430</v>
      </c>
      <c r="C16" s="220" t="s">
        <v>436</v>
      </c>
      <c r="D16" s="227">
        <v>1</v>
      </c>
      <c r="E16" s="228">
        <v>0</v>
      </c>
      <c r="F16" s="210"/>
      <c r="G16" s="210"/>
      <c r="H16" s="215"/>
      <c r="I16" s="210"/>
      <c r="J16" s="222"/>
      <c r="K16" s="222"/>
    </row>
    <row r="17" spans="1:11" s="218" customFormat="1" ht="12" x14ac:dyDescent="0.2">
      <c r="A17" s="218" t="s">
        <v>384</v>
      </c>
      <c r="B17" s="219" t="s">
        <v>168</v>
      </c>
      <c r="C17" s="220" t="s">
        <v>437</v>
      </c>
      <c r="D17" s="227">
        <v>2</v>
      </c>
      <c r="E17" s="228">
        <v>0</v>
      </c>
      <c r="F17" s="210"/>
      <c r="G17" s="210"/>
      <c r="H17" s="215"/>
      <c r="I17" s="210"/>
      <c r="J17" s="222"/>
      <c r="K17" s="222"/>
    </row>
    <row r="18" spans="1:11" s="218" customFormat="1" ht="12" x14ac:dyDescent="0.2">
      <c r="A18" s="218" t="s">
        <v>385</v>
      </c>
      <c r="B18" s="219" t="s">
        <v>167</v>
      </c>
      <c r="C18" s="220" t="s">
        <v>438</v>
      </c>
      <c r="D18" s="227">
        <v>2</v>
      </c>
      <c r="E18" s="228">
        <v>0</v>
      </c>
      <c r="F18" s="210"/>
      <c r="G18" s="210"/>
      <c r="H18" s="215"/>
      <c r="I18" s="210"/>
      <c r="J18" s="222"/>
      <c r="K18" s="222"/>
    </row>
    <row r="19" spans="1:11" s="218" customFormat="1" ht="12" x14ac:dyDescent="0.2">
      <c r="A19" s="218" t="s">
        <v>183</v>
      </c>
      <c r="B19" s="219" t="s">
        <v>504</v>
      </c>
      <c r="C19" s="220" t="s">
        <v>439</v>
      </c>
      <c r="D19" s="227">
        <v>1</v>
      </c>
      <c r="E19" s="228">
        <v>0</v>
      </c>
      <c r="F19" s="210"/>
      <c r="G19" s="210"/>
      <c r="H19" s="215"/>
      <c r="I19" s="210"/>
      <c r="J19" s="222"/>
      <c r="K19" s="222"/>
    </row>
    <row r="20" spans="1:11" s="218" customFormat="1" ht="12" x14ac:dyDescent="0.2">
      <c r="A20" s="218" t="s">
        <v>184</v>
      </c>
      <c r="B20" s="219" t="s">
        <v>428</v>
      </c>
      <c r="C20" s="220" t="s">
        <v>440</v>
      </c>
      <c r="D20" s="227">
        <v>1</v>
      </c>
      <c r="E20" s="228">
        <v>0</v>
      </c>
      <c r="F20" s="210"/>
      <c r="G20" s="210"/>
      <c r="H20" s="215"/>
      <c r="I20" s="210"/>
      <c r="J20" s="229"/>
      <c r="K20" s="222"/>
    </row>
    <row r="21" spans="1:11" ht="15" customHeight="1" x14ac:dyDescent="0.2">
      <c r="B21" s="230"/>
      <c r="C21" s="231" t="s">
        <v>188</v>
      </c>
      <c r="D21" s="232"/>
      <c r="E21" s="231">
        <v>0</v>
      </c>
      <c r="F21" s="231"/>
      <c r="G21" s="231"/>
      <c r="H21" s="231"/>
      <c r="I21" s="231"/>
      <c r="J21" s="231"/>
      <c r="K21" s="231"/>
    </row>
    <row r="22" spans="1:11" x14ac:dyDescent="0.2">
      <c r="B22" s="212"/>
      <c r="C22" s="210" t="s">
        <v>178</v>
      </c>
      <c r="D22" s="233"/>
      <c r="E22" s="210">
        <v>0</v>
      </c>
      <c r="F22" s="210"/>
      <c r="G22" s="210"/>
      <c r="H22" s="210"/>
      <c r="I22" s="210"/>
      <c r="J22" s="229"/>
      <c r="K22" s="222"/>
    </row>
    <row r="23" spans="1:11" x14ac:dyDescent="0.2">
      <c r="B23" s="212"/>
      <c r="C23" s="234" t="s">
        <v>226</v>
      </c>
      <c r="D23" s="225">
        <v>1</v>
      </c>
      <c r="E23" s="210">
        <v>0</v>
      </c>
      <c r="F23" s="210"/>
      <c r="G23" s="210"/>
      <c r="H23" s="210"/>
      <c r="I23" s="210"/>
      <c r="J23" s="229"/>
      <c r="K23" s="222"/>
    </row>
    <row r="24" spans="1:11" x14ac:dyDescent="0.2">
      <c r="B24" s="212"/>
      <c r="C24" s="234" t="s">
        <v>67</v>
      </c>
      <c r="D24" s="225">
        <v>1</v>
      </c>
      <c r="E24" s="210">
        <v>0</v>
      </c>
      <c r="F24" s="210"/>
      <c r="G24" s="210"/>
      <c r="H24" s="210"/>
      <c r="I24" s="210"/>
      <c r="J24" s="229"/>
      <c r="K24" s="222"/>
    </row>
    <row r="25" spans="1:11" x14ac:dyDescent="0.2">
      <c r="A25" s="218"/>
      <c r="B25" s="212"/>
      <c r="C25" s="234" t="s">
        <v>226</v>
      </c>
      <c r="D25" s="225"/>
      <c r="E25" s="210">
        <v>0</v>
      </c>
      <c r="F25" s="210"/>
      <c r="G25" s="210"/>
      <c r="H25" s="221"/>
      <c r="I25" s="210"/>
      <c r="J25" s="229"/>
      <c r="K25" s="222"/>
    </row>
    <row r="26" spans="1:11" x14ac:dyDescent="0.2">
      <c r="A26" s="218"/>
      <c r="B26" s="212" t="s">
        <v>425</v>
      </c>
      <c r="C26" s="220" t="s">
        <v>426</v>
      </c>
      <c r="D26" s="225">
        <v>1</v>
      </c>
      <c r="E26" s="210">
        <v>42.592592592592588</v>
      </c>
      <c r="F26" s="210"/>
      <c r="G26" s="210"/>
      <c r="H26" s="221"/>
      <c r="I26" s="210"/>
      <c r="J26" s="229"/>
      <c r="K26" s="222"/>
    </row>
    <row r="27" spans="1:11" x14ac:dyDescent="0.2">
      <c r="A27" s="218"/>
      <c r="B27" s="212" t="s">
        <v>13</v>
      </c>
      <c r="C27" s="220" t="s">
        <v>441</v>
      </c>
      <c r="D27" s="225">
        <v>1</v>
      </c>
      <c r="E27" s="210">
        <v>2.9506172839506171</v>
      </c>
      <c r="F27" s="210"/>
      <c r="G27" s="210"/>
      <c r="H27" s="221"/>
      <c r="I27" s="210"/>
      <c r="J27" s="229"/>
      <c r="K27" s="222"/>
    </row>
    <row r="28" spans="1:11" x14ac:dyDescent="0.2">
      <c r="B28" s="212" t="s">
        <v>139</v>
      </c>
      <c r="C28" s="220" t="s">
        <v>442</v>
      </c>
      <c r="D28" s="225">
        <v>1</v>
      </c>
      <c r="E28" s="210">
        <v>3.3950617283950617</v>
      </c>
      <c r="F28" s="210"/>
      <c r="G28" s="210"/>
      <c r="H28" s="221"/>
      <c r="I28" s="210"/>
      <c r="J28" s="229"/>
      <c r="K28" s="222"/>
    </row>
    <row r="29" spans="1:11" x14ac:dyDescent="0.2">
      <c r="B29" s="212"/>
      <c r="C29" s="234" t="s">
        <v>67</v>
      </c>
      <c r="D29" s="225">
        <v>1</v>
      </c>
      <c r="E29" s="223">
        <v>0</v>
      </c>
      <c r="F29" s="210"/>
      <c r="G29" s="210"/>
      <c r="H29" s="221"/>
      <c r="I29" s="210"/>
      <c r="J29" s="229"/>
      <c r="K29" s="222"/>
    </row>
    <row r="30" spans="1:11" x14ac:dyDescent="0.2">
      <c r="B30" s="212" t="s">
        <v>135</v>
      </c>
      <c r="C30" s="220" t="s">
        <v>443</v>
      </c>
      <c r="D30" s="225">
        <v>1</v>
      </c>
      <c r="E30" s="235">
        <v>19.493827160493826</v>
      </c>
      <c r="F30" s="210"/>
      <c r="G30" s="210"/>
      <c r="H30" s="221"/>
      <c r="I30" s="210"/>
      <c r="J30" s="229"/>
      <c r="K30" s="222"/>
    </row>
    <row r="31" spans="1:11" x14ac:dyDescent="0.2">
      <c r="B31" s="212"/>
      <c r="D31" s="225"/>
      <c r="E31" s="210"/>
      <c r="F31" s="210"/>
      <c r="G31" s="210"/>
      <c r="H31" s="221"/>
      <c r="I31" s="222"/>
      <c r="J31" s="229"/>
      <c r="K31" s="222"/>
    </row>
    <row r="32" spans="1:11" x14ac:dyDescent="0.2">
      <c r="B32" s="212"/>
      <c r="C32" s="236" t="s">
        <v>2</v>
      </c>
      <c r="D32" s="237"/>
      <c r="E32" s="238"/>
      <c r="F32" s="238"/>
      <c r="G32" s="222"/>
      <c r="H32" s="221"/>
      <c r="I32" s="238"/>
      <c r="J32" s="222"/>
      <c r="K32" s="238"/>
    </row>
    <row r="33" spans="2:11" x14ac:dyDescent="0.2">
      <c r="B33" s="212">
        <v>136</v>
      </c>
      <c r="C33" s="220" t="s">
        <v>79</v>
      </c>
      <c r="D33" s="237">
        <v>1</v>
      </c>
      <c r="E33" s="239">
        <v>0</v>
      </c>
      <c r="F33" s="238"/>
      <c r="G33" s="240"/>
      <c r="H33" s="221"/>
      <c r="I33" s="238"/>
      <c r="J33" s="222"/>
      <c r="K33" s="238"/>
    </row>
    <row r="34" spans="2:11" x14ac:dyDescent="0.2">
      <c r="B34" s="212">
        <v>148</v>
      </c>
      <c r="C34" s="220" t="s">
        <v>80</v>
      </c>
      <c r="D34" s="237">
        <v>1</v>
      </c>
      <c r="E34" s="239">
        <v>0.05</v>
      </c>
      <c r="F34" s="238"/>
      <c r="G34" s="240"/>
      <c r="H34" s="221"/>
      <c r="I34" s="238"/>
      <c r="J34" s="222"/>
      <c r="K34" s="238"/>
    </row>
    <row r="35" spans="2:11" x14ac:dyDescent="0.2">
      <c r="B35" s="212">
        <v>160</v>
      </c>
      <c r="C35" s="220" t="s">
        <v>81</v>
      </c>
      <c r="D35" s="237">
        <v>1</v>
      </c>
      <c r="E35" s="239">
        <v>0.10249999999999999</v>
      </c>
      <c r="F35" s="238"/>
      <c r="G35" s="240"/>
      <c r="H35" s="221"/>
      <c r="I35" s="238"/>
      <c r="J35" s="222"/>
      <c r="K35" s="238"/>
    </row>
    <row r="36" spans="2:11" x14ac:dyDescent="0.2">
      <c r="B36" s="212" t="s">
        <v>24</v>
      </c>
      <c r="C36" s="220" t="s">
        <v>106</v>
      </c>
      <c r="D36" s="237">
        <v>1</v>
      </c>
      <c r="E36" s="239">
        <v>0.02</v>
      </c>
      <c r="F36" s="238"/>
      <c r="G36" s="240"/>
      <c r="H36" s="221"/>
      <c r="I36" s="238"/>
      <c r="J36" s="222"/>
      <c r="K36" s="238"/>
    </row>
    <row r="37" spans="2:11" x14ac:dyDescent="0.2">
      <c r="B37" s="212" t="s">
        <v>25</v>
      </c>
      <c r="C37" s="220" t="s">
        <v>32</v>
      </c>
      <c r="D37" s="237">
        <v>1</v>
      </c>
      <c r="E37" s="239">
        <v>0.10299999999999999</v>
      </c>
      <c r="F37" s="238"/>
      <c r="G37" s="240"/>
      <c r="H37" s="221"/>
      <c r="I37" s="238"/>
      <c r="J37" s="222"/>
      <c r="K37" s="238"/>
    </row>
    <row r="38" spans="2:11" x14ac:dyDescent="0.2">
      <c r="B38" s="212" t="s">
        <v>26</v>
      </c>
      <c r="C38" s="220" t="s">
        <v>172</v>
      </c>
      <c r="D38" s="237">
        <v>1</v>
      </c>
      <c r="E38" s="239">
        <v>0.193</v>
      </c>
      <c r="F38" s="238"/>
      <c r="G38" s="240"/>
      <c r="H38" s="221"/>
      <c r="I38" s="238"/>
      <c r="J38" s="222"/>
      <c r="K38" s="238"/>
    </row>
    <row r="39" spans="2:11" x14ac:dyDescent="0.2">
      <c r="B39" s="212" t="s">
        <v>27</v>
      </c>
      <c r="C39" s="220" t="s">
        <v>30</v>
      </c>
      <c r="D39" s="237">
        <v>1</v>
      </c>
      <c r="E39" s="239">
        <v>0.14419999999999999</v>
      </c>
      <c r="F39" s="238"/>
      <c r="G39" s="240"/>
      <c r="H39" s="221"/>
      <c r="I39" s="238"/>
      <c r="J39" s="222"/>
      <c r="K39" s="238"/>
    </row>
    <row r="40" spans="2:11" x14ac:dyDescent="0.2">
      <c r="B40" s="212" t="s">
        <v>28</v>
      </c>
      <c r="C40" s="220" t="s">
        <v>31</v>
      </c>
      <c r="D40" s="237">
        <v>1</v>
      </c>
      <c r="E40" s="239">
        <v>0.27250000000000002</v>
      </c>
      <c r="F40" s="238"/>
      <c r="G40" s="240"/>
      <c r="H40" s="221"/>
      <c r="I40" s="238"/>
      <c r="J40" s="222"/>
      <c r="K40" s="238"/>
    </row>
    <row r="41" spans="2:11" x14ac:dyDescent="0.2">
      <c r="B41" s="212" t="s">
        <v>190</v>
      </c>
      <c r="C41" s="220" t="s">
        <v>191</v>
      </c>
      <c r="D41" s="237">
        <v>1</v>
      </c>
      <c r="E41" s="239">
        <v>0.41799999999999998</v>
      </c>
      <c r="F41" s="238"/>
      <c r="G41" s="240"/>
      <c r="H41" s="221"/>
      <c r="I41" s="238"/>
      <c r="J41" s="222"/>
      <c r="K41" s="238"/>
    </row>
    <row r="42" spans="2:11" x14ac:dyDescent="0.2">
      <c r="B42" s="241"/>
      <c r="C42" s="238"/>
      <c r="D42" s="238"/>
      <c r="E42" s="238"/>
      <c r="F42" s="238"/>
      <c r="G42" s="222"/>
      <c r="H42" s="221"/>
      <c r="I42" s="238"/>
      <c r="J42" s="222"/>
      <c r="K42" s="238"/>
    </row>
    <row r="43" spans="2:11" x14ac:dyDescent="0.2">
      <c r="B43" s="241"/>
      <c r="C43" s="238"/>
      <c r="D43" s="238"/>
      <c r="E43" s="238"/>
      <c r="F43" s="238"/>
      <c r="G43" s="222"/>
      <c r="H43" s="221"/>
      <c r="I43" s="238"/>
      <c r="J43" s="222"/>
      <c r="K43" s="238"/>
    </row>
    <row r="44" spans="2:11" x14ac:dyDescent="0.2">
      <c r="B44" s="241"/>
      <c r="C44" s="238"/>
      <c r="D44" s="238"/>
      <c r="E44" s="238"/>
      <c r="F44" s="238"/>
      <c r="G44" s="222"/>
      <c r="H44" s="221"/>
      <c r="I44" s="238"/>
      <c r="J44" s="222"/>
      <c r="K44" s="238"/>
    </row>
    <row r="45" spans="2:11" x14ac:dyDescent="0.2">
      <c r="B45" s="241"/>
      <c r="C45" s="238"/>
      <c r="D45" s="238"/>
      <c r="E45" s="238"/>
      <c r="F45" s="238"/>
      <c r="G45" s="222"/>
      <c r="H45" s="221"/>
      <c r="I45" s="238"/>
      <c r="J45" s="222"/>
      <c r="K45" s="238"/>
    </row>
    <row r="46" spans="2:11" x14ac:dyDescent="0.2">
      <c r="B46" s="241"/>
      <c r="C46" s="238"/>
      <c r="D46" s="238"/>
      <c r="E46" s="238"/>
      <c r="F46" s="238"/>
      <c r="G46" s="222"/>
      <c r="H46" s="221"/>
      <c r="I46" s="238"/>
      <c r="J46" s="222"/>
      <c r="K46" s="238"/>
    </row>
    <row r="47" spans="2:11" x14ac:dyDescent="0.2">
      <c r="B47" s="241"/>
      <c r="C47" s="238"/>
      <c r="D47" s="238"/>
      <c r="E47" s="238"/>
      <c r="F47" s="238"/>
      <c r="G47" s="222"/>
      <c r="H47" s="221"/>
      <c r="I47" s="238"/>
      <c r="J47" s="231"/>
      <c r="K47" s="238"/>
    </row>
    <row r="48" spans="2:11" x14ac:dyDescent="0.2">
      <c r="J48" s="222"/>
    </row>
    <row r="49" spans="10:10" x14ac:dyDescent="0.2">
      <c r="J49" s="222"/>
    </row>
    <row r="50" spans="10:10" x14ac:dyDescent="0.2">
      <c r="J50" s="222"/>
    </row>
    <row r="51" spans="10:10" x14ac:dyDescent="0.2">
      <c r="J51" s="222"/>
    </row>
    <row r="52" spans="10:10" x14ac:dyDescent="0.2">
      <c r="J52" s="222"/>
    </row>
    <row r="53" spans="10:10" x14ac:dyDescent="0.2">
      <c r="J53" s="222"/>
    </row>
    <row r="54" spans="10:10" x14ac:dyDescent="0.2">
      <c r="J54" s="222"/>
    </row>
    <row r="55" spans="10:10" x14ac:dyDescent="0.2">
      <c r="J55" s="222"/>
    </row>
    <row r="56" spans="10:10" x14ac:dyDescent="0.2">
      <c r="J56" s="222"/>
    </row>
    <row r="57" spans="10:10" x14ac:dyDescent="0.2">
      <c r="J57" s="222"/>
    </row>
    <row r="58" spans="10:10" x14ac:dyDescent="0.2">
      <c r="J58" s="222"/>
    </row>
    <row r="59" spans="10:10" x14ac:dyDescent="0.2">
      <c r="J59" s="222"/>
    </row>
    <row r="60" spans="10:10" x14ac:dyDescent="0.2">
      <c r="J60" s="222"/>
    </row>
    <row r="61" spans="10:10" x14ac:dyDescent="0.2">
      <c r="J61" s="222"/>
    </row>
    <row r="62" spans="10:10" x14ac:dyDescent="0.2">
      <c r="J62" s="222"/>
    </row>
    <row r="63" spans="10:10" x14ac:dyDescent="0.2">
      <c r="J63" s="222"/>
    </row>
    <row r="64" spans="10:10" x14ac:dyDescent="0.2">
      <c r="J64" s="222"/>
    </row>
    <row r="65" spans="10:10" x14ac:dyDescent="0.2">
      <c r="J65" s="222"/>
    </row>
    <row r="66" spans="10:10" x14ac:dyDescent="0.2">
      <c r="J66" s="222"/>
    </row>
    <row r="67" spans="10:10" x14ac:dyDescent="0.2">
      <c r="J67" s="222"/>
    </row>
    <row r="68" spans="10:10" x14ac:dyDescent="0.2">
      <c r="J68" s="222"/>
    </row>
    <row r="69" spans="10:10" x14ac:dyDescent="0.2">
      <c r="J69" s="222"/>
    </row>
    <row r="70" spans="10:10" x14ac:dyDescent="0.2">
      <c r="J70" s="222"/>
    </row>
    <row r="71" spans="10:10" x14ac:dyDescent="0.2">
      <c r="J71" s="222"/>
    </row>
    <row r="72" spans="10:10" x14ac:dyDescent="0.2">
      <c r="J72" s="222"/>
    </row>
    <row r="73" spans="10:10" x14ac:dyDescent="0.2">
      <c r="J73" s="222"/>
    </row>
    <row r="74" spans="10:10" x14ac:dyDescent="0.2">
      <c r="J74" s="222"/>
    </row>
    <row r="75" spans="10:10" x14ac:dyDescent="0.2">
      <c r="J75" s="222"/>
    </row>
    <row r="76" spans="10:10" x14ac:dyDescent="0.2">
      <c r="J76" s="222"/>
    </row>
    <row r="77" spans="10:10" x14ac:dyDescent="0.2">
      <c r="J77" s="222"/>
    </row>
    <row r="78" spans="10:10" x14ac:dyDescent="0.2">
      <c r="J78" s="222"/>
    </row>
    <row r="79" spans="10:10" x14ac:dyDescent="0.2">
      <c r="J79" s="222"/>
    </row>
    <row r="80" spans="10:10" x14ac:dyDescent="0.2">
      <c r="J80" s="222"/>
    </row>
    <row r="81" spans="10:10" x14ac:dyDescent="0.2">
      <c r="J81" s="222"/>
    </row>
    <row r="82" spans="10:10" x14ac:dyDescent="0.2">
      <c r="J82" s="222"/>
    </row>
    <row r="83" spans="10:10" x14ac:dyDescent="0.2">
      <c r="J83" s="222"/>
    </row>
    <row r="84" spans="10:10" x14ac:dyDescent="0.2">
      <c r="J84" s="222"/>
    </row>
    <row r="85" spans="10:10" x14ac:dyDescent="0.2">
      <c r="J85" s="222"/>
    </row>
    <row r="86" spans="10:10" x14ac:dyDescent="0.2">
      <c r="J86" s="222"/>
    </row>
    <row r="87" spans="10:10" x14ac:dyDescent="0.2">
      <c r="J87" s="222"/>
    </row>
    <row r="88" spans="10:10" x14ac:dyDescent="0.2">
      <c r="J88" s="222"/>
    </row>
    <row r="89" spans="10:10" x14ac:dyDescent="0.2">
      <c r="J89" s="222"/>
    </row>
    <row r="90" spans="10:10" x14ac:dyDescent="0.2">
      <c r="J90" s="222"/>
    </row>
    <row r="91" spans="10:10" x14ac:dyDescent="0.2">
      <c r="J91" s="222"/>
    </row>
    <row r="92" spans="10:10" x14ac:dyDescent="0.2">
      <c r="J92" s="222"/>
    </row>
    <row r="93" spans="10:10" x14ac:dyDescent="0.2">
      <c r="J93" s="222"/>
    </row>
    <row r="94" spans="10:10" x14ac:dyDescent="0.2">
      <c r="J94" s="222"/>
    </row>
    <row r="95" spans="10:10" x14ac:dyDescent="0.2">
      <c r="J95" s="222"/>
    </row>
    <row r="96" spans="10:10" x14ac:dyDescent="0.2">
      <c r="J96" s="222"/>
    </row>
    <row r="97" spans="10:10" x14ac:dyDescent="0.2">
      <c r="J97" s="222"/>
    </row>
    <row r="98" spans="10:10" x14ac:dyDescent="0.2">
      <c r="J98" s="222"/>
    </row>
    <row r="99" spans="10:10" x14ac:dyDescent="0.2">
      <c r="J99" s="222"/>
    </row>
    <row r="100" spans="10:10" x14ac:dyDescent="0.2">
      <c r="J100" s="222"/>
    </row>
    <row r="101" spans="10:10" x14ac:dyDescent="0.2">
      <c r="J101" s="222"/>
    </row>
    <row r="102" spans="10:10" x14ac:dyDescent="0.2">
      <c r="J102" s="222"/>
    </row>
    <row r="103" spans="10:10" x14ac:dyDescent="0.2">
      <c r="J103" s="222"/>
    </row>
    <row r="104" spans="10:10" x14ac:dyDescent="0.2">
      <c r="J104" s="222"/>
    </row>
    <row r="105" spans="10:10" x14ac:dyDescent="0.2">
      <c r="J105" s="222"/>
    </row>
    <row r="106" spans="10:10" x14ac:dyDescent="0.2">
      <c r="J106" s="222"/>
    </row>
    <row r="107" spans="10:10" x14ac:dyDescent="0.2">
      <c r="J107" s="222"/>
    </row>
    <row r="108" spans="10:10" x14ac:dyDescent="0.2">
      <c r="J108" s="222"/>
    </row>
    <row r="109" spans="10:10" x14ac:dyDescent="0.2">
      <c r="J109" s="222"/>
    </row>
    <row r="110" spans="10:10" x14ac:dyDescent="0.2">
      <c r="J110" s="222"/>
    </row>
    <row r="111" spans="10:10" x14ac:dyDescent="0.2">
      <c r="J111" s="222"/>
    </row>
    <row r="112" spans="10:10" x14ac:dyDescent="0.2">
      <c r="J112" s="222"/>
    </row>
    <row r="113" spans="10:10" x14ac:dyDescent="0.2">
      <c r="J113" s="222"/>
    </row>
    <row r="114" spans="10:10" x14ac:dyDescent="0.2">
      <c r="J114" s="229"/>
    </row>
    <row r="115" spans="10:10" x14ac:dyDescent="0.2">
      <c r="J115" s="222"/>
    </row>
    <row r="116" spans="10:10" x14ac:dyDescent="0.2">
      <c r="J116" s="222"/>
    </row>
    <row r="117" spans="10:10" x14ac:dyDescent="0.2">
      <c r="J117" s="222"/>
    </row>
    <row r="118" spans="10:10" x14ac:dyDescent="0.2">
      <c r="J118" s="222"/>
    </row>
    <row r="119" spans="10:10" x14ac:dyDescent="0.2">
      <c r="J119" s="222"/>
    </row>
    <row r="120" spans="10:10" x14ac:dyDescent="0.2">
      <c r="J120" s="222"/>
    </row>
    <row r="121" spans="10:10" x14ac:dyDescent="0.2">
      <c r="J121" s="222"/>
    </row>
    <row r="122" spans="10:10" x14ac:dyDescent="0.2">
      <c r="J122" s="222"/>
    </row>
    <row r="123" spans="10:10" x14ac:dyDescent="0.2">
      <c r="J123" s="222"/>
    </row>
    <row r="124" spans="10:10" x14ac:dyDescent="0.2">
      <c r="J124" s="222"/>
    </row>
    <row r="125" spans="10:10" x14ac:dyDescent="0.2">
      <c r="J125" s="222"/>
    </row>
    <row r="126" spans="10:10" x14ac:dyDescent="0.2">
      <c r="J126" s="222"/>
    </row>
    <row r="127" spans="10:10" x14ac:dyDescent="0.2">
      <c r="J127" s="222"/>
    </row>
    <row r="128" spans="10:10" x14ac:dyDescent="0.2">
      <c r="J128" s="222"/>
    </row>
    <row r="129" spans="10:10" x14ac:dyDescent="0.2">
      <c r="J129" s="222"/>
    </row>
    <row r="130" spans="10:10" x14ac:dyDescent="0.2">
      <c r="J130" s="222"/>
    </row>
    <row r="131" spans="10:10" x14ac:dyDescent="0.2">
      <c r="J131" s="222"/>
    </row>
    <row r="132" spans="10:10" x14ac:dyDescent="0.2">
      <c r="J132" s="222"/>
    </row>
    <row r="133" spans="10:10" x14ac:dyDescent="0.2">
      <c r="J133" s="222"/>
    </row>
    <row r="134" spans="10:10" x14ac:dyDescent="0.2">
      <c r="J134" s="222"/>
    </row>
    <row r="135" spans="10:10" x14ac:dyDescent="0.2">
      <c r="J135" s="222"/>
    </row>
    <row r="136" spans="10:10" x14ac:dyDescent="0.2">
      <c r="J136" s="222"/>
    </row>
    <row r="137" spans="10:10" x14ac:dyDescent="0.2">
      <c r="J137" s="222"/>
    </row>
    <row r="138" spans="10:10" x14ac:dyDescent="0.2">
      <c r="J138" s="222"/>
    </row>
    <row r="139" spans="10:10" x14ac:dyDescent="0.2">
      <c r="J139" s="222"/>
    </row>
    <row r="140" spans="10:10" x14ac:dyDescent="0.2">
      <c r="J140" s="222"/>
    </row>
    <row r="141" spans="10:10" x14ac:dyDescent="0.2">
      <c r="J141" s="222"/>
    </row>
    <row r="142" spans="10:10" x14ac:dyDescent="0.2">
      <c r="J142" s="238"/>
    </row>
    <row r="143" spans="10:10" x14ac:dyDescent="0.2">
      <c r="J143" s="238"/>
    </row>
    <row r="144" spans="10:10" x14ac:dyDescent="0.2">
      <c r="J144" s="238"/>
    </row>
    <row r="145" spans="10:10" x14ac:dyDescent="0.2">
      <c r="J145" s="238"/>
    </row>
    <row r="146" spans="10:10" x14ac:dyDescent="0.2">
      <c r="J146" s="238"/>
    </row>
    <row r="147" spans="10:10" x14ac:dyDescent="0.2">
      <c r="J147" s="238"/>
    </row>
    <row r="148" spans="10:10" x14ac:dyDescent="0.2">
      <c r="J148" s="238"/>
    </row>
    <row r="149" spans="10:10" x14ac:dyDescent="0.2">
      <c r="J149" s="238"/>
    </row>
    <row r="150" spans="10:10" x14ac:dyDescent="0.2">
      <c r="J150" s="238"/>
    </row>
    <row r="151" spans="10:10" x14ac:dyDescent="0.2">
      <c r="J151" s="238"/>
    </row>
    <row r="152" spans="10:10" x14ac:dyDescent="0.2">
      <c r="J152" s="238"/>
    </row>
    <row r="153" spans="10:10" x14ac:dyDescent="0.2">
      <c r="J153" s="238"/>
    </row>
    <row r="154" spans="10:10" x14ac:dyDescent="0.2">
      <c r="J154" s="238"/>
    </row>
    <row r="155" spans="10:10" x14ac:dyDescent="0.2">
      <c r="J155" s="238"/>
    </row>
    <row r="156" spans="10:10" x14ac:dyDescent="0.2">
      <c r="J156" s="238"/>
    </row>
    <row r="157" spans="10:10" x14ac:dyDescent="0.2">
      <c r="J157" s="238"/>
    </row>
  </sheetData>
  <sheetProtection algorithmName="SHA-512" hashValue="jXfUg1ACqdnMB2jAUKNu54rAVtysMcwRb+ehkFzZvIRHvIY+HRtk9MDw9iq/vOd0bp+uMKvSNu8AOedAHIpnoQ==" saltValue="0LtAhd1fpa6ZZu6k/dK98g==" spinCount="100000" sheet="1" objects="1" scenarios="1" selectLockedCells="1"/>
  <conditionalFormatting sqref="H1:H2 H31:H1048576 H4 H12:H20 H25 H7:H10">
    <cfRule type="cellIs" dxfId="154" priority="15" operator="lessThan">
      <formula>-0.04</formula>
    </cfRule>
    <cfRule type="cellIs" dxfId="153" priority="16" operator="greaterThan">
      <formula>0.04</formula>
    </cfRule>
  </conditionalFormatting>
  <conditionalFormatting sqref="H8:H13">
    <cfRule type="cellIs" dxfId="152" priority="11" operator="lessThan">
      <formula>-0.04</formula>
    </cfRule>
    <cfRule type="cellIs" dxfId="151" priority="12" operator="greaterThan">
      <formula>0.04</formula>
    </cfRule>
  </conditionalFormatting>
  <conditionalFormatting sqref="H5:H6">
    <cfRule type="cellIs" dxfId="150" priority="9" operator="lessThan">
      <formula>-0.04</formula>
    </cfRule>
    <cfRule type="cellIs" dxfId="149" priority="10" operator="greaterThan">
      <formula>0.04</formula>
    </cfRule>
  </conditionalFormatting>
  <conditionalFormatting sqref="H26:H30">
    <cfRule type="cellIs" dxfId="148" priority="7" operator="lessThan">
      <formula>-0.04</formula>
    </cfRule>
    <cfRule type="cellIs" dxfId="147" priority="8" operator="greaterThan">
      <formula>0.04</formula>
    </cfRule>
  </conditionalFormatting>
  <conditionalFormatting sqref="J1:J2 J22:J1048576 J4:J20">
    <cfRule type="cellIs" dxfId="146" priority="1" operator="lessThan">
      <formula>-0.01</formula>
    </cfRule>
    <cfRule type="cellIs" dxfId="145" priority="2" operator="greaterThan">
      <formula>0.01</formula>
    </cfRule>
  </conditionalFormatting>
  <pageMargins left="0.17" right="0.19" top="0.17" bottom="0.18" header="0.17" footer="0.18"/>
  <pageSetup paperSize="9" scale="63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23"/>
  <sheetViews>
    <sheetView workbookViewId="0"/>
  </sheetViews>
  <sheetFormatPr baseColWidth="10" defaultRowHeight="15" x14ac:dyDescent="0.25"/>
  <cols>
    <col min="1" max="1" width="3.7109375" bestFit="1" customWidth="1"/>
    <col min="3" max="3" width="95.7109375" bestFit="1" customWidth="1"/>
    <col min="4" max="4" width="19" customWidth="1"/>
  </cols>
  <sheetData>
    <row r="1" spans="1:13" x14ac:dyDescent="0.25">
      <c r="A1" t="s">
        <v>77</v>
      </c>
      <c r="B1" t="s">
        <v>289</v>
      </c>
      <c r="C1" t="s">
        <v>5</v>
      </c>
      <c r="D1" t="s">
        <v>290</v>
      </c>
      <c r="M1" t="s">
        <v>310</v>
      </c>
    </row>
    <row r="2" spans="1:13" x14ac:dyDescent="0.25">
      <c r="A2">
        <v>1</v>
      </c>
      <c r="B2" t="s">
        <v>291</v>
      </c>
      <c r="C2" t="s">
        <v>292</v>
      </c>
      <c r="D2" t="s">
        <v>309</v>
      </c>
      <c r="M2" t="s">
        <v>311</v>
      </c>
    </row>
    <row r="3" spans="1:13" x14ac:dyDescent="0.25">
      <c r="A3">
        <v>2</v>
      </c>
      <c r="B3" t="s">
        <v>291</v>
      </c>
      <c r="C3" t="s">
        <v>293</v>
      </c>
      <c r="M3" t="s">
        <v>312</v>
      </c>
    </row>
    <row r="4" spans="1:13" s="83" customFormat="1" x14ac:dyDescent="0.25">
      <c r="A4" s="83">
        <v>3</v>
      </c>
      <c r="B4" s="83" t="s">
        <v>291</v>
      </c>
      <c r="C4" s="83" t="s">
        <v>294</v>
      </c>
      <c r="D4" s="83" t="s">
        <v>301</v>
      </c>
      <c r="M4" s="83" t="s">
        <v>312</v>
      </c>
    </row>
    <row r="5" spans="1:13" x14ac:dyDescent="0.25">
      <c r="A5">
        <v>4</v>
      </c>
      <c r="B5" s="74" t="s">
        <v>291</v>
      </c>
      <c r="C5" t="s">
        <v>299</v>
      </c>
      <c r="D5" t="s">
        <v>300</v>
      </c>
      <c r="M5" t="s">
        <v>311</v>
      </c>
    </row>
    <row r="6" spans="1:13" x14ac:dyDescent="0.25">
      <c r="A6">
        <v>5</v>
      </c>
      <c r="B6" s="74" t="s">
        <v>291</v>
      </c>
      <c r="C6" t="s">
        <v>302</v>
      </c>
      <c r="M6" t="s">
        <v>311</v>
      </c>
    </row>
    <row r="7" spans="1:13" x14ac:dyDescent="0.25">
      <c r="A7">
        <v>6</v>
      </c>
      <c r="B7" s="74" t="s">
        <v>291</v>
      </c>
      <c r="C7" t="s">
        <v>304</v>
      </c>
      <c r="M7" t="s">
        <v>313</v>
      </c>
    </row>
    <row r="8" spans="1:13" x14ac:dyDescent="0.25">
      <c r="A8">
        <v>7</v>
      </c>
      <c r="B8" s="74" t="s">
        <v>291</v>
      </c>
      <c r="C8" t="s">
        <v>314</v>
      </c>
      <c r="M8" t="s">
        <v>312</v>
      </c>
    </row>
    <row r="9" spans="1:13" x14ac:dyDescent="0.25">
      <c r="A9">
        <v>8</v>
      </c>
      <c r="B9" t="s">
        <v>291</v>
      </c>
      <c r="C9" t="s">
        <v>315</v>
      </c>
      <c r="M9" t="s">
        <v>312</v>
      </c>
    </row>
    <row r="23" spans="3:3" x14ac:dyDescent="0.25">
      <c r="C23" t="s">
        <v>297</v>
      </c>
    </row>
  </sheetData>
  <sheetProtection algorithmName="SHA-512" hashValue="jCN1dScfZ2CDUCeeSklI9/VbQKL9PvliaEnQkUBNzzCzu2m74JvkWaMRio/10SBZmdYU1q9gL2B8HJW2tiH03w==" saltValue="BBnS8G7kxhv1UJG+/Q0TDg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AK18"/>
  <sheetViews>
    <sheetView workbookViewId="0">
      <selection activeCell="O14" sqref="O14"/>
    </sheetView>
  </sheetViews>
  <sheetFormatPr baseColWidth="10" defaultColWidth="6.140625" defaultRowHeight="15" x14ac:dyDescent="0.25"/>
  <cols>
    <col min="1" max="1" width="13.42578125" style="74" customWidth="1"/>
    <col min="2" max="2" width="55.7109375" style="74" customWidth="1"/>
    <col min="3" max="12" width="4.28515625" style="74" customWidth="1"/>
    <col min="13" max="14" width="4" style="74" bestFit="1" customWidth="1"/>
    <col min="15" max="15" width="4" style="74" customWidth="1"/>
    <col min="16" max="17" width="4" style="74" bestFit="1" customWidth="1"/>
    <col min="18" max="18" width="4" style="74" customWidth="1"/>
    <col min="19" max="27" width="4" style="74" bestFit="1" customWidth="1"/>
    <col min="28" max="28" width="6.140625" style="63"/>
    <col min="29" max="29" width="21.42578125" style="74" customWidth="1"/>
    <col min="30" max="30" width="59.140625" style="74" customWidth="1"/>
    <col min="31" max="16384" width="6.140625" style="74"/>
  </cols>
  <sheetData>
    <row r="1" spans="1:37" x14ac:dyDescent="0.25">
      <c r="A1" s="413" t="s">
        <v>258</v>
      </c>
      <c r="B1" s="413"/>
      <c r="C1" s="413"/>
      <c r="D1" s="413"/>
      <c r="E1" s="413"/>
      <c r="F1" s="413"/>
      <c r="G1" s="413"/>
      <c r="H1" s="413"/>
      <c r="I1" s="413"/>
      <c r="J1" s="413"/>
      <c r="K1" s="413"/>
      <c r="L1" s="413"/>
      <c r="M1" s="413"/>
      <c r="N1" s="413"/>
      <c r="O1" s="413"/>
      <c r="P1" s="413"/>
      <c r="Q1" s="413"/>
      <c r="R1" s="413"/>
      <c r="S1" s="413"/>
      <c r="T1" s="413"/>
      <c r="U1" s="413"/>
      <c r="V1" s="413"/>
      <c r="W1" s="413"/>
      <c r="X1" s="413"/>
      <c r="Y1" s="413"/>
      <c r="Z1" s="413"/>
      <c r="AA1" s="413"/>
    </row>
    <row r="2" spans="1:37" x14ac:dyDescent="0.25">
      <c r="A2" s="43"/>
      <c r="B2" s="43" t="s">
        <v>200</v>
      </c>
      <c r="C2" s="74">
        <v>0</v>
      </c>
      <c r="D2" s="74">
        <v>0</v>
      </c>
      <c r="E2" s="74">
        <v>0</v>
      </c>
      <c r="F2" s="74">
        <v>0</v>
      </c>
      <c r="G2" s="74">
        <v>0</v>
      </c>
      <c r="H2" s="74">
        <v>0</v>
      </c>
      <c r="I2" s="74">
        <v>0</v>
      </c>
      <c r="J2" s="74">
        <v>0</v>
      </c>
      <c r="K2" s="74">
        <v>0</v>
      </c>
      <c r="L2" s="74">
        <v>1</v>
      </c>
      <c r="M2" s="74">
        <v>1</v>
      </c>
      <c r="N2" s="74">
        <v>1</v>
      </c>
      <c r="O2" s="74">
        <v>1</v>
      </c>
      <c r="P2" s="74">
        <v>1</v>
      </c>
      <c r="Q2" s="74">
        <v>1</v>
      </c>
      <c r="R2" s="74">
        <v>1</v>
      </c>
      <c r="S2" s="74">
        <v>2</v>
      </c>
      <c r="T2" s="74">
        <v>2</v>
      </c>
      <c r="U2" s="74">
        <v>2</v>
      </c>
      <c r="V2" s="74">
        <v>2</v>
      </c>
      <c r="W2" s="74">
        <v>2</v>
      </c>
      <c r="X2" s="74">
        <v>3</v>
      </c>
      <c r="Y2" s="74">
        <v>3</v>
      </c>
      <c r="Z2" s="74">
        <v>3</v>
      </c>
      <c r="AA2" s="74">
        <v>4</v>
      </c>
      <c r="AD2" s="74" t="s">
        <v>200</v>
      </c>
      <c r="AE2" s="74">
        <v>0</v>
      </c>
      <c r="AF2" s="74">
        <v>0</v>
      </c>
      <c r="AG2" s="74">
        <v>1</v>
      </c>
      <c r="AH2" s="74">
        <v>1</v>
      </c>
      <c r="AI2" s="74">
        <v>2</v>
      </c>
      <c r="AJ2" s="74">
        <v>2</v>
      </c>
      <c r="AK2" s="74">
        <v>4</v>
      </c>
    </row>
    <row r="3" spans="1:37" x14ac:dyDescent="0.25">
      <c r="A3" s="43"/>
      <c r="B3" s="43" t="s">
        <v>203</v>
      </c>
      <c r="C3" s="74">
        <v>0</v>
      </c>
      <c r="D3" s="74">
        <v>0</v>
      </c>
      <c r="E3" s="74">
        <v>0</v>
      </c>
      <c r="F3" s="74">
        <v>0</v>
      </c>
      <c r="G3" s="74">
        <v>0</v>
      </c>
      <c r="H3" s="74">
        <v>1</v>
      </c>
      <c r="I3" s="74">
        <v>2</v>
      </c>
      <c r="J3" s="74">
        <v>3</v>
      </c>
      <c r="K3" s="74">
        <v>4</v>
      </c>
      <c r="L3" s="74">
        <v>0</v>
      </c>
      <c r="M3" s="74">
        <v>0</v>
      </c>
      <c r="N3" s="74">
        <v>0</v>
      </c>
      <c r="O3" s="74">
        <v>0</v>
      </c>
      <c r="P3" s="74">
        <v>1</v>
      </c>
      <c r="Q3" s="74">
        <v>2</v>
      </c>
      <c r="R3" s="74">
        <v>3</v>
      </c>
      <c r="S3" s="74">
        <v>0</v>
      </c>
      <c r="T3" s="74">
        <v>0</v>
      </c>
      <c r="U3" s="74">
        <v>0</v>
      </c>
      <c r="V3" s="74">
        <v>1</v>
      </c>
      <c r="W3" s="74">
        <v>2</v>
      </c>
      <c r="X3" s="74">
        <v>0</v>
      </c>
      <c r="Y3" s="74">
        <v>0</v>
      </c>
      <c r="Z3" s="74">
        <v>1</v>
      </c>
      <c r="AA3" s="74">
        <v>0</v>
      </c>
      <c r="AD3" s="74" t="s">
        <v>259</v>
      </c>
      <c r="AE3" s="74">
        <v>0</v>
      </c>
      <c r="AF3" s="74">
        <v>1</v>
      </c>
      <c r="AG3" s="74">
        <v>0</v>
      </c>
      <c r="AH3" s="74">
        <v>1</v>
      </c>
      <c r="AI3" s="74">
        <v>0</v>
      </c>
      <c r="AJ3" s="74">
        <v>1</v>
      </c>
      <c r="AK3" s="74">
        <v>0</v>
      </c>
    </row>
    <row r="4" spans="1:37" x14ac:dyDescent="0.25">
      <c r="A4" s="43"/>
      <c r="B4" s="43" t="s">
        <v>204</v>
      </c>
      <c r="C4" s="74">
        <v>0</v>
      </c>
      <c r="D4" s="74">
        <v>1</v>
      </c>
      <c r="E4" s="74">
        <v>2</v>
      </c>
      <c r="F4" s="74">
        <v>3</v>
      </c>
      <c r="G4" s="74">
        <v>4</v>
      </c>
      <c r="H4" s="74">
        <v>0</v>
      </c>
      <c r="I4" s="74">
        <v>0</v>
      </c>
      <c r="J4" s="74">
        <v>0</v>
      </c>
      <c r="K4" s="74">
        <v>0</v>
      </c>
      <c r="L4" s="74">
        <v>0</v>
      </c>
      <c r="M4" s="74">
        <v>1</v>
      </c>
      <c r="N4" s="74">
        <v>2</v>
      </c>
      <c r="O4" s="74">
        <v>3</v>
      </c>
      <c r="P4" s="74">
        <v>0</v>
      </c>
      <c r="Q4" s="74">
        <v>0</v>
      </c>
      <c r="R4" s="74">
        <v>0</v>
      </c>
      <c r="S4" s="74">
        <v>0</v>
      </c>
      <c r="T4" s="74">
        <v>1</v>
      </c>
      <c r="U4" s="74">
        <v>2</v>
      </c>
      <c r="V4" s="74">
        <v>0</v>
      </c>
      <c r="W4" s="74">
        <v>0</v>
      </c>
      <c r="X4" s="74">
        <v>0</v>
      </c>
      <c r="Y4" s="74">
        <v>1</v>
      </c>
      <c r="Z4" s="74">
        <v>0</v>
      </c>
      <c r="AA4" s="74">
        <v>0</v>
      </c>
    </row>
    <row r="5" spans="1:37" x14ac:dyDescent="0.25">
      <c r="A5" s="43"/>
      <c r="B5" s="43"/>
      <c r="C5" s="46" t="str">
        <f>C2&amp;C3&amp;C4</f>
        <v>000</v>
      </c>
      <c r="D5" s="46" t="str">
        <f t="shared" ref="D5:AA5" si="0">D2&amp;D3&amp;D4</f>
        <v>001</v>
      </c>
      <c r="E5" s="46" t="str">
        <f t="shared" si="0"/>
        <v>002</v>
      </c>
      <c r="F5" s="46" t="str">
        <f t="shared" si="0"/>
        <v>003</v>
      </c>
      <c r="G5" s="46" t="str">
        <f t="shared" si="0"/>
        <v>004</v>
      </c>
      <c r="H5" s="46" t="str">
        <f t="shared" si="0"/>
        <v>010</v>
      </c>
      <c r="I5" s="46" t="str">
        <f t="shared" si="0"/>
        <v>020</v>
      </c>
      <c r="J5" s="46" t="str">
        <f t="shared" si="0"/>
        <v>030</v>
      </c>
      <c r="K5" s="46" t="str">
        <f t="shared" si="0"/>
        <v>040</v>
      </c>
      <c r="L5" s="46" t="str">
        <f t="shared" si="0"/>
        <v>100</v>
      </c>
      <c r="M5" s="46" t="str">
        <f t="shared" si="0"/>
        <v>101</v>
      </c>
      <c r="N5" s="46" t="str">
        <f t="shared" si="0"/>
        <v>102</v>
      </c>
      <c r="O5" s="46" t="str">
        <f t="shared" si="0"/>
        <v>103</v>
      </c>
      <c r="P5" s="46" t="str">
        <f t="shared" si="0"/>
        <v>110</v>
      </c>
      <c r="Q5" s="46" t="str">
        <f t="shared" si="0"/>
        <v>120</v>
      </c>
      <c r="R5" s="46" t="str">
        <f t="shared" si="0"/>
        <v>130</v>
      </c>
      <c r="S5" s="46" t="str">
        <f t="shared" si="0"/>
        <v>200</v>
      </c>
      <c r="T5" s="46" t="str">
        <f t="shared" si="0"/>
        <v>201</v>
      </c>
      <c r="U5" s="46" t="str">
        <f t="shared" si="0"/>
        <v>202</v>
      </c>
      <c r="V5" s="46" t="str">
        <f t="shared" si="0"/>
        <v>210</v>
      </c>
      <c r="W5" s="46" t="str">
        <f t="shared" si="0"/>
        <v>220</v>
      </c>
      <c r="X5" s="46" t="str">
        <f t="shared" si="0"/>
        <v>300</v>
      </c>
      <c r="Y5" s="46" t="str">
        <f t="shared" si="0"/>
        <v>301</v>
      </c>
      <c r="Z5" s="46" t="str">
        <f t="shared" si="0"/>
        <v>310</v>
      </c>
      <c r="AA5" s="46" t="str">
        <f t="shared" si="0"/>
        <v>400</v>
      </c>
    </row>
    <row r="6" spans="1:37" x14ac:dyDescent="0.25">
      <c r="A6" s="43">
        <v>2686106</v>
      </c>
      <c r="B6" s="70" t="e">
        <f>VLOOKUP(A6,#REF!,2,FALSE)</f>
        <v>#REF!</v>
      </c>
      <c r="C6" s="51">
        <v>0</v>
      </c>
      <c r="D6" s="51">
        <v>0</v>
      </c>
      <c r="E6" s="51">
        <v>0</v>
      </c>
      <c r="F6" s="51">
        <v>0</v>
      </c>
      <c r="G6" s="51">
        <v>0</v>
      </c>
      <c r="H6" s="51">
        <v>0</v>
      </c>
      <c r="I6" s="51">
        <v>0</v>
      </c>
      <c r="J6" s="51">
        <v>0</v>
      </c>
      <c r="K6" s="51">
        <v>0</v>
      </c>
      <c r="L6" s="51">
        <v>1</v>
      </c>
      <c r="M6" s="51">
        <v>0</v>
      </c>
      <c r="N6" s="51">
        <v>0</v>
      </c>
      <c r="O6" s="47">
        <v>0</v>
      </c>
      <c r="P6" s="47">
        <v>0</v>
      </c>
      <c r="Q6" s="47">
        <v>0</v>
      </c>
      <c r="R6" s="47">
        <v>0</v>
      </c>
      <c r="S6" s="47">
        <v>0</v>
      </c>
      <c r="T6" s="47">
        <v>0</v>
      </c>
      <c r="U6" s="47">
        <v>0</v>
      </c>
      <c r="V6" s="47">
        <v>0</v>
      </c>
      <c r="W6" s="47">
        <v>0</v>
      </c>
      <c r="X6" s="47">
        <v>1</v>
      </c>
      <c r="Y6" s="47">
        <v>0</v>
      </c>
      <c r="Z6" s="47">
        <v>0</v>
      </c>
      <c r="AA6" s="47">
        <v>0</v>
      </c>
    </row>
    <row r="7" spans="1:37" x14ac:dyDescent="0.25">
      <c r="A7" s="43" t="s">
        <v>375</v>
      </c>
      <c r="B7" s="70" t="e">
        <f>VLOOKUP(A7,#REF!,2,FALSE)</f>
        <v>#REF!</v>
      </c>
      <c r="C7" s="51">
        <v>0</v>
      </c>
      <c r="D7" s="51">
        <v>1</v>
      </c>
      <c r="E7" s="51">
        <v>1</v>
      </c>
      <c r="F7" s="51">
        <v>1</v>
      </c>
      <c r="G7" s="51">
        <v>1</v>
      </c>
      <c r="H7" s="51">
        <v>1</v>
      </c>
      <c r="I7" s="51">
        <v>1</v>
      </c>
      <c r="J7" s="51">
        <v>1</v>
      </c>
      <c r="K7" s="51">
        <v>1</v>
      </c>
      <c r="L7" s="51">
        <v>0</v>
      </c>
      <c r="M7" s="51">
        <v>1</v>
      </c>
      <c r="N7" s="51">
        <v>1</v>
      </c>
      <c r="O7" s="47">
        <v>1</v>
      </c>
      <c r="P7" s="47">
        <v>1</v>
      </c>
      <c r="Q7" s="47">
        <v>1</v>
      </c>
      <c r="R7" s="47">
        <v>1</v>
      </c>
      <c r="S7" s="47">
        <v>1</v>
      </c>
      <c r="T7" s="47">
        <v>1</v>
      </c>
      <c r="U7" s="47">
        <v>1</v>
      </c>
      <c r="V7" s="47">
        <v>1</v>
      </c>
      <c r="W7" s="47">
        <v>1</v>
      </c>
      <c r="X7" s="47">
        <v>1</v>
      </c>
      <c r="Y7" s="47">
        <v>1</v>
      </c>
      <c r="Z7" s="47">
        <v>1</v>
      </c>
      <c r="AA7" s="47">
        <v>1</v>
      </c>
    </row>
    <row r="8" spans="1:37" x14ac:dyDescent="0.25">
      <c r="A8" s="43" t="s">
        <v>217</v>
      </c>
      <c r="B8" s="70" t="e">
        <f>VLOOKUP(A8,#REF!,2,FALSE)</f>
        <v>#REF!</v>
      </c>
      <c r="C8" s="51">
        <v>0</v>
      </c>
      <c r="D8" s="51">
        <v>0</v>
      </c>
      <c r="E8" s="51">
        <v>0</v>
      </c>
      <c r="F8" s="51">
        <v>0</v>
      </c>
      <c r="G8" s="51">
        <v>0</v>
      </c>
      <c r="H8" s="51">
        <v>0</v>
      </c>
      <c r="I8" s="51">
        <v>0</v>
      </c>
      <c r="J8" s="51">
        <v>0</v>
      </c>
      <c r="K8" s="51">
        <v>0</v>
      </c>
      <c r="L8" s="51">
        <v>0</v>
      </c>
      <c r="M8" s="51">
        <v>0</v>
      </c>
      <c r="N8" s="51">
        <v>0</v>
      </c>
      <c r="O8" s="47">
        <v>0</v>
      </c>
      <c r="P8" s="47">
        <v>0</v>
      </c>
      <c r="Q8" s="47">
        <v>0</v>
      </c>
      <c r="R8" s="47">
        <v>0</v>
      </c>
      <c r="S8" s="47">
        <v>1</v>
      </c>
      <c r="T8" s="47">
        <v>0</v>
      </c>
      <c r="U8" s="47">
        <v>0</v>
      </c>
      <c r="V8" s="47">
        <v>0</v>
      </c>
      <c r="W8" s="47">
        <v>0</v>
      </c>
      <c r="X8" s="47">
        <v>1</v>
      </c>
      <c r="Y8" s="47">
        <v>0</v>
      </c>
      <c r="Z8" s="47">
        <v>0</v>
      </c>
      <c r="AA8" s="47">
        <v>2</v>
      </c>
    </row>
    <row r="9" spans="1:37" x14ac:dyDescent="0.25">
      <c r="A9" s="43" t="s">
        <v>132</v>
      </c>
      <c r="B9" s="70" t="e">
        <f>VLOOKUP(A9,#REF!,2,FALSE)</f>
        <v>#REF!</v>
      </c>
      <c r="C9" s="51">
        <v>0</v>
      </c>
      <c r="D9" s="51">
        <v>1</v>
      </c>
      <c r="E9" s="51">
        <v>1</v>
      </c>
      <c r="F9" s="51">
        <v>1</v>
      </c>
      <c r="G9" s="51">
        <v>1</v>
      </c>
      <c r="H9" s="51">
        <v>1</v>
      </c>
      <c r="I9" s="51">
        <v>1</v>
      </c>
      <c r="J9" s="51">
        <v>1</v>
      </c>
      <c r="K9" s="51">
        <v>1</v>
      </c>
      <c r="L9" s="51">
        <v>0</v>
      </c>
      <c r="M9" s="51">
        <v>1</v>
      </c>
      <c r="N9" s="51">
        <v>1</v>
      </c>
      <c r="O9" s="47">
        <v>1</v>
      </c>
      <c r="P9" s="47">
        <v>1</v>
      </c>
      <c r="Q9" s="47">
        <v>1</v>
      </c>
      <c r="R9" s="47">
        <v>1</v>
      </c>
      <c r="S9" s="47">
        <v>0</v>
      </c>
      <c r="T9" s="47">
        <v>1</v>
      </c>
      <c r="U9" s="47">
        <v>1</v>
      </c>
      <c r="V9" s="47">
        <v>1</v>
      </c>
      <c r="W9" s="47">
        <v>1</v>
      </c>
      <c r="X9" s="47">
        <v>0</v>
      </c>
      <c r="Y9" s="47">
        <v>1</v>
      </c>
      <c r="Z9" s="47">
        <v>1</v>
      </c>
      <c r="AA9" s="47">
        <v>0</v>
      </c>
    </row>
    <row r="10" spans="1:37" x14ac:dyDescent="0.25">
      <c r="A10" s="43" t="s">
        <v>144</v>
      </c>
      <c r="B10" s="70" t="e">
        <f>VLOOKUP(A10,#REF!,2,FALSE)</f>
        <v>#REF!</v>
      </c>
      <c r="C10" s="51">
        <v>0</v>
      </c>
      <c r="D10" s="51">
        <v>1</v>
      </c>
      <c r="E10" s="51">
        <v>2</v>
      </c>
      <c r="F10" s="51">
        <v>3</v>
      </c>
      <c r="G10" s="51">
        <v>4</v>
      </c>
      <c r="H10" s="51">
        <v>0</v>
      </c>
      <c r="I10" s="51">
        <v>0</v>
      </c>
      <c r="J10" s="51">
        <v>0</v>
      </c>
      <c r="K10" s="51">
        <v>0</v>
      </c>
      <c r="L10" s="51">
        <v>0</v>
      </c>
      <c r="M10" s="51">
        <v>1</v>
      </c>
      <c r="N10" s="51">
        <v>2</v>
      </c>
      <c r="O10" s="47">
        <v>3</v>
      </c>
      <c r="P10" s="47">
        <v>0</v>
      </c>
      <c r="Q10" s="47">
        <v>0</v>
      </c>
      <c r="R10" s="47">
        <v>0</v>
      </c>
      <c r="S10" s="47">
        <v>0</v>
      </c>
      <c r="T10" s="47">
        <v>1</v>
      </c>
      <c r="U10" s="47">
        <v>2</v>
      </c>
      <c r="V10" s="47">
        <v>0</v>
      </c>
      <c r="W10" s="47">
        <v>0</v>
      </c>
      <c r="X10" s="47">
        <v>0</v>
      </c>
      <c r="Y10" s="47">
        <v>1</v>
      </c>
      <c r="Z10" s="47">
        <v>0</v>
      </c>
      <c r="AA10" s="47">
        <v>0</v>
      </c>
    </row>
    <row r="11" spans="1:37" x14ac:dyDescent="0.25">
      <c r="A11" s="70">
        <v>9824541</v>
      </c>
      <c r="B11" s="70" t="e">
        <f>VLOOKUP(A11,#REF!,2,FALSE)</f>
        <v>#REF!</v>
      </c>
      <c r="C11" s="51">
        <v>0</v>
      </c>
      <c r="D11" s="51">
        <v>4</v>
      </c>
      <c r="E11" s="51">
        <v>4</v>
      </c>
      <c r="F11" s="51">
        <v>4</v>
      </c>
      <c r="G11" s="51">
        <v>4</v>
      </c>
      <c r="H11" s="51">
        <v>4</v>
      </c>
      <c r="I11" s="51">
        <v>4</v>
      </c>
      <c r="J11" s="51">
        <v>4</v>
      </c>
      <c r="K11" s="51">
        <v>4</v>
      </c>
      <c r="L11" s="51">
        <v>0</v>
      </c>
      <c r="M11" s="51">
        <v>4</v>
      </c>
      <c r="N11" s="51">
        <v>4</v>
      </c>
      <c r="O11" s="47">
        <v>4</v>
      </c>
      <c r="P11" s="47">
        <v>4</v>
      </c>
      <c r="Q11" s="47">
        <v>4</v>
      </c>
      <c r="R11" s="47">
        <v>4</v>
      </c>
      <c r="S11" s="47">
        <v>0</v>
      </c>
      <c r="T11" s="47">
        <v>4</v>
      </c>
      <c r="U11" s="47">
        <v>4</v>
      </c>
      <c r="V11" s="47">
        <v>4</v>
      </c>
      <c r="W11" s="47">
        <v>4</v>
      </c>
      <c r="X11" s="47">
        <v>0</v>
      </c>
      <c r="Y11" s="47">
        <v>4</v>
      </c>
      <c r="Z11" s="47">
        <v>4</v>
      </c>
      <c r="AA11" s="47">
        <v>0</v>
      </c>
    </row>
    <row r="12" spans="1:37" x14ac:dyDescent="0.25">
      <c r="A12" s="43" t="s">
        <v>498</v>
      </c>
      <c r="B12" s="70" t="e">
        <f>VLOOKUP(A12,#REF!,2,FALSE)</f>
        <v>#REF!</v>
      </c>
      <c r="C12" s="51">
        <v>0</v>
      </c>
      <c r="D12" s="51">
        <v>1</v>
      </c>
      <c r="E12" s="51">
        <v>1</v>
      </c>
      <c r="F12" s="51">
        <v>1</v>
      </c>
      <c r="G12" s="51">
        <v>1</v>
      </c>
      <c r="H12" s="51">
        <v>1</v>
      </c>
      <c r="I12" s="51">
        <v>1</v>
      </c>
      <c r="J12" s="51">
        <v>1</v>
      </c>
      <c r="K12" s="51">
        <v>1</v>
      </c>
      <c r="L12" s="51">
        <v>0</v>
      </c>
      <c r="M12" s="51">
        <v>1</v>
      </c>
      <c r="N12" s="51">
        <v>1</v>
      </c>
      <c r="O12" s="47">
        <v>1</v>
      </c>
      <c r="P12" s="47">
        <v>1</v>
      </c>
      <c r="Q12" s="47">
        <v>1</v>
      </c>
      <c r="R12" s="47">
        <v>1</v>
      </c>
      <c r="S12" s="47">
        <v>0</v>
      </c>
      <c r="T12" s="47">
        <v>1</v>
      </c>
      <c r="U12" s="47">
        <v>1</v>
      </c>
      <c r="V12" s="47">
        <v>1</v>
      </c>
      <c r="W12" s="47">
        <v>1</v>
      </c>
      <c r="X12" s="47">
        <v>0</v>
      </c>
      <c r="Y12" s="47">
        <v>1</v>
      </c>
      <c r="Z12" s="47">
        <v>1</v>
      </c>
      <c r="AA12" s="47">
        <v>0</v>
      </c>
    </row>
    <row r="13" spans="1:37" x14ac:dyDescent="0.25">
      <c r="A13" s="43" t="s">
        <v>138</v>
      </c>
      <c r="B13" s="70" t="e">
        <f>VLOOKUP(A13,#REF!,2,FALSE)</f>
        <v>#REF!</v>
      </c>
      <c r="C13" s="51">
        <v>0</v>
      </c>
      <c r="D13" s="51">
        <v>1</v>
      </c>
      <c r="E13" s="51">
        <v>2</v>
      </c>
      <c r="F13" s="51">
        <v>3</v>
      </c>
      <c r="G13" s="51">
        <v>4</v>
      </c>
      <c r="H13" s="51">
        <v>1</v>
      </c>
      <c r="I13" s="51">
        <v>2</v>
      </c>
      <c r="J13" s="51">
        <v>3</v>
      </c>
      <c r="K13" s="51">
        <v>4</v>
      </c>
      <c r="L13" s="51">
        <v>0</v>
      </c>
      <c r="M13" s="51">
        <v>1</v>
      </c>
      <c r="N13" s="51">
        <v>2</v>
      </c>
      <c r="O13" s="47">
        <v>3</v>
      </c>
      <c r="P13" s="47">
        <v>1</v>
      </c>
      <c r="Q13" s="47">
        <v>2</v>
      </c>
      <c r="R13" s="47">
        <v>3</v>
      </c>
      <c r="S13" s="47">
        <v>0</v>
      </c>
      <c r="T13" s="47">
        <v>1</v>
      </c>
      <c r="U13" s="47">
        <v>2</v>
      </c>
      <c r="V13" s="47">
        <v>1</v>
      </c>
      <c r="W13" s="47">
        <v>2</v>
      </c>
      <c r="X13" s="47">
        <v>0</v>
      </c>
      <c r="Y13" s="47">
        <v>1</v>
      </c>
      <c r="Z13" s="47">
        <v>1</v>
      </c>
      <c r="AA13" s="47">
        <f t="shared" ref="AA13" si="1">AA12</f>
        <v>0</v>
      </c>
    </row>
    <row r="14" spans="1:37" x14ac:dyDescent="0.25">
      <c r="A14" s="43" t="s">
        <v>17</v>
      </c>
      <c r="B14" s="70" t="e">
        <f>VLOOKUP(A14,#REF!,2,FALSE)</f>
        <v>#REF!</v>
      </c>
      <c r="C14" s="51">
        <f>C13</f>
        <v>0</v>
      </c>
      <c r="D14" s="51">
        <f t="shared" ref="D14:AA14" si="2">D13</f>
        <v>1</v>
      </c>
      <c r="E14" s="51">
        <f t="shared" si="2"/>
        <v>2</v>
      </c>
      <c r="F14" s="51">
        <f t="shared" si="2"/>
        <v>3</v>
      </c>
      <c r="G14" s="51">
        <f t="shared" si="2"/>
        <v>4</v>
      </c>
      <c r="H14" s="51">
        <f t="shared" si="2"/>
        <v>1</v>
      </c>
      <c r="I14" s="51">
        <f t="shared" si="2"/>
        <v>2</v>
      </c>
      <c r="J14" s="51">
        <f t="shared" si="2"/>
        <v>3</v>
      </c>
      <c r="K14" s="51">
        <f t="shared" si="2"/>
        <v>4</v>
      </c>
      <c r="L14" s="51">
        <f t="shared" si="2"/>
        <v>0</v>
      </c>
      <c r="M14" s="51">
        <f t="shared" si="2"/>
        <v>1</v>
      </c>
      <c r="N14" s="51">
        <f t="shared" si="2"/>
        <v>2</v>
      </c>
      <c r="O14" s="51">
        <f t="shared" si="2"/>
        <v>3</v>
      </c>
      <c r="P14" s="51">
        <f t="shared" si="2"/>
        <v>1</v>
      </c>
      <c r="Q14" s="51">
        <f t="shared" si="2"/>
        <v>2</v>
      </c>
      <c r="R14" s="51">
        <f t="shared" si="2"/>
        <v>3</v>
      </c>
      <c r="S14" s="51">
        <f t="shared" si="2"/>
        <v>0</v>
      </c>
      <c r="T14" s="51">
        <f t="shared" si="2"/>
        <v>1</v>
      </c>
      <c r="U14" s="51">
        <f t="shared" si="2"/>
        <v>2</v>
      </c>
      <c r="V14" s="51">
        <f t="shared" si="2"/>
        <v>1</v>
      </c>
      <c r="W14" s="51">
        <f t="shared" si="2"/>
        <v>2</v>
      </c>
      <c r="X14" s="51">
        <f t="shared" si="2"/>
        <v>0</v>
      </c>
      <c r="Y14" s="51">
        <f t="shared" si="2"/>
        <v>1</v>
      </c>
      <c r="Z14" s="51">
        <f t="shared" si="2"/>
        <v>1</v>
      </c>
      <c r="AA14" s="51">
        <f t="shared" si="2"/>
        <v>0</v>
      </c>
    </row>
    <row r="15" spans="1:37" x14ac:dyDescent="0.25">
      <c r="A15" s="43" t="s">
        <v>91</v>
      </c>
      <c r="B15" s="70" t="e">
        <f>VLOOKUP(A15,#REF!,2,FALSE)</f>
        <v>#REF!</v>
      </c>
      <c r="C15" s="51">
        <v>0</v>
      </c>
      <c r="D15" s="51">
        <v>3</v>
      </c>
      <c r="E15" s="51">
        <v>2</v>
      </c>
      <c r="F15" s="51">
        <v>1</v>
      </c>
      <c r="G15" s="51">
        <v>0</v>
      </c>
      <c r="H15" s="51">
        <v>3</v>
      </c>
      <c r="I15" s="51">
        <v>2</v>
      </c>
      <c r="J15" s="51">
        <v>1</v>
      </c>
      <c r="K15" s="51">
        <v>0</v>
      </c>
      <c r="L15" s="51">
        <v>0</v>
      </c>
      <c r="M15" s="51">
        <v>2</v>
      </c>
      <c r="N15" s="51">
        <v>1</v>
      </c>
      <c r="O15" s="47">
        <v>0</v>
      </c>
      <c r="P15" s="47">
        <v>2</v>
      </c>
      <c r="Q15" s="47">
        <v>1</v>
      </c>
      <c r="R15" s="47">
        <v>0</v>
      </c>
      <c r="S15" s="47">
        <v>0</v>
      </c>
      <c r="T15" s="47">
        <v>1</v>
      </c>
      <c r="U15" s="47">
        <v>0</v>
      </c>
      <c r="V15" s="47">
        <v>1</v>
      </c>
      <c r="W15" s="47">
        <v>0</v>
      </c>
      <c r="X15" s="47">
        <v>0</v>
      </c>
      <c r="Y15" s="47">
        <v>0</v>
      </c>
      <c r="Z15" s="47">
        <v>0</v>
      </c>
      <c r="AA15" s="47">
        <v>0</v>
      </c>
    </row>
    <row r="16" spans="1:37" s="126" customFormat="1" x14ac:dyDescent="0.25">
      <c r="A16" s="118" t="s">
        <v>602</v>
      </c>
      <c r="B16" s="70" t="s">
        <v>711</v>
      </c>
      <c r="C16" s="51">
        <v>0</v>
      </c>
      <c r="D16" s="51">
        <v>6</v>
      </c>
      <c r="E16" s="51">
        <v>4</v>
      </c>
      <c r="F16" s="51">
        <v>2</v>
      </c>
      <c r="G16" s="51">
        <v>0</v>
      </c>
      <c r="H16" s="51">
        <v>6</v>
      </c>
      <c r="I16" s="51">
        <v>4</v>
      </c>
      <c r="J16" s="51">
        <v>2</v>
      </c>
      <c r="K16" s="51">
        <v>0</v>
      </c>
      <c r="L16" s="51">
        <v>0</v>
      </c>
      <c r="M16" s="51">
        <v>4</v>
      </c>
      <c r="N16" s="51">
        <v>2</v>
      </c>
      <c r="O16" s="47">
        <v>0</v>
      </c>
      <c r="P16" s="47">
        <v>4</v>
      </c>
      <c r="Q16" s="47">
        <v>2</v>
      </c>
      <c r="R16" s="47">
        <v>0</v>
      </c>
      <c r="S16" s="47">
        <v>0</v>
      </c>
      <c r="T16" s="47">
        <v>2</v>
      </c>
      <c r="U16" s="47">
        <v>0</v>
      </c>
      <c r="V16" s="47">
        <v>2</v>
      </c>
      <c r="W16" s="47">
        <v>0</v>
      </c>
      <c r="X16" s="47">
        <v>0</v>
      </c>
      <c r="Y16" s="47">
        <v>0</v>
      </c>
      <c r="Z16" s="47">
        <v>0</v>
      </c>
      <c r="AA16" s="47">
        <v>0</v>
      </c>
      <c r="AB16" s="63"/>
    </row>
    <row r="17" spans="1:28" s="126" customFormat="1" x14ac:dyDescent="0.25">
      <c r="A17" s="118" t="s">
        <v>592</v>
      </c>
      <c r="B17" s="70" t="s">
        <v>712</v>
      </c>
      <c r="C17" s="51">
        <v>0</v>
      </c>
      <c r="D17" s="51">
        <v>6</v>
      </c>
      <c r="E17" s="51">
        <v>4</v>
      </c>
      <c r="F17" s="51">
        <v>2</v>
      </c>
      <c r="G17" s="51">
        <v>0</v>
      </c>
      <c r="H17" s="51">
        <v>6</v>
      </c>
      <c r="I17" s="51">
        <v>4</v>
      </c>
      <c r="J17" s="51">
        <v>2</v>
      </c>
      <c r="K17" s="51">
        <v>0</v>
      </c>
      <c r="L17" s="51">
        <v>0</v>
      </c>
      <c r="M17" s="51">
        <v>4</v>
      </c>
      <c r="N17" s="51">
        <v>2</v>
      </c>
      <c r="O17" s="47">
        <v>0</v>
      </c>
      <c r="P17" s="47">
        <v>4</v>
      </c>
      <c r="Q17" s="47">
        <v>2</v>
      </c>
      <c r="R17" s="47">
        <v>0</v>
      </c>
      <c r="S17" s="47">
        <v>0</v>
      </c>
      <c r="T17" s="47">
        <v>2</v>
      </c>
      <c r="U17" s="47">
        <v>0</v>
      </c>
      <c r="V17" s="47">
        <v>2</v>
      </c>
      <c r="W17" s="47">
        <v>0</v>
      </c>
      <c r="X17" s="47">
        <v>0</v>
      </c>
      <c r="Y17" s="47">
        <v>0</v>
      </c>
      <c r="Z17" s="47">
        <v>0</v>
      </c>
      <c r="AA17" s="47">
        <v>0</v>
      </c>
      <c r="AB17" s="63"/>
    </row>
    <row r="18" spans="1:28" x14ac:dyDescent="0.25">
      <c r="A18" s="118" t="s">
        <v>151</v>
      </c>
      <c r="B18" s="70" t="e">
        <f>VLOOKUP(A18,#REF!,2,FALSE)</f>
        <v>#REF!</v>
      </c>
      <c r="C18" s="51">
        <v>0</v>
      </c>
      <c r="D18" s="51">
        <v>2</v>
      </c>
      <c r="E18" s="51">
        <v>4</v>
      </c>
      <c r="F18" s="51">
        <v>6</v>
      </c>
      <c r="G18" s="51">
        <v>8</v>
      </c>
      <c r="H18" s="51">
        <v>2</v>
      </c>
      <c r="I18" s="51">
        <v>4</v>
      </c>
      <c r="J18" s="51">
        <v>6</v>
      </c>
      <c r="K18" s="51">
        <v>8</v>
      </c>
      <c r="L18" s="51">
        <v>0</v>
      </c>
      <c r="M18" s="51">
        <v>2</v>
      </c>
      <c r="N18" s="51">
        <v>4</v>
      </c>
      <c r="O18" s="47">
        <v>6</v>
      </c>
      <c r="P18" s="47">
        <v>2</v>
      </c>
      <c r="Q18" s="47">
        <v>4</v>
      </c>
      <c r="R18" s="47">
        <v>6</v>
      </c>
      <c r="S18" s="47">
        <v>0</v>
      </c>
      <c r="T18" s="47">
        <v>2</v>
      </c>
      <c r="U18" s="47">
        <v>4</v>
      </c>
      <c r="V18" s="47">
        <v>2</v>
      </c>
      <c r="W18" s="47">
        <v>4</v>
      </c>
      <c r="X18" s="47">
        <v>0</v>
      </c>
      <c r="Y18" s="47">
        <v>2</v>
      </c>
      <c r="Z18" s="47">
        <v>2</v>
      </c>
      <c r="AA18" s="47">
        <v>0</v>
      </c>
    </row>
  </sheetData>
  <sheetProtection algorithmName="SHA-512" hashValue="RVICWdKLxAe7Qbsv88mx3HI80OxemDUWiy4N3R53zHpcdu4FL4w/9yVEgi0uWt/5RweGgBzdVnVbYWkZmLB+fA==" saltValue="bP8JCfEcahtJDuZRflrCLw==" spinCount="100000" sheet="1" objects="1" scenarios="1"/>
  <mergeCells count="1">
    <mergeCell ref="A1:AA1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R15"/>
  <sheetViews>
    <sheetView workbookViewId="0">
      <selection activeCell="B15" sqref="B15"/>
    </sheetView>
  </sheetViews>
  <sheetFormatPr baseColWidth="10" defaultColWidth="6.140625" defaultRowHeight="15" x14ac:dyDescent="0.25"/>
  <cols>
    <col min="1" max="1" width="13.42578125" style="126" customWidth="1"/>
    <col min="2" max="2" width="55.7109375" style="126" customWidth="1"/>
    <col min="3" max="8" width="4.28515625" style="126" customWidth="1"/>
    <col min="9" max="10" width="4" style="126" bestFit="1" customWidth="1"/>
    <col min="11" max="11" width="4" style="126" customWidth="1"/>
    <col min="12" max="17" width="4" style="126" bestFit="1" customWidth="1"/>
    <col min="18" max="18" width="6.140625" style="63"/>
    <col min="19" max="19" width="21.42578125" style="126" customWidth="1"/>
    <col min="20" max="20" width="59.140625" style="126" customWidth="1"/>
    <col min="21" max="16384" width="6.140625" style="126"/>
  </cols>
  <sheetData>
    <row r="1" spans="1:17" x14ac:dyDescent="0.25">
      <c r="A1" s="413" t="s">
        <v>694</v>
      </c>
      <c r="B1" s="413"/>
      <c r="C1" s="413"/>
      <c r="D1" s="413"/>
      <c r="E1" s="413"/>
      <c r="F1" s="413"/>
      <c r="G1" s="413"/>
      <c r="H1" s="413"/>
      <c r="I1" s="413"/>
      <c r="J1" s="413"/>
      <c r="K1" s="413"/>
      <c r="L1" s="413"/>
      <c r="M1" s="413"/>
      <c r="N1" s="413"/>
      <c r="O1" s="413"/>
      <c r="P1" s="413"/>
      <c r="Q1" s="413"/>
    </row>
    <row r="2" spans="1:17" x14ac:dyDescent="0.25">
      <c r="A2" s="43"/>
      <c r="B2" s="43" t="s">
        <v>200</v>
      </c>
      <c r="C2" s="126">
        <v>0</v>
      </c>
      <c r="D2" s="126">
        <v>0</v>
      </c>
      <c r="E2" s="126">
        <v>0</v>
      </c>
      <c r="F2" s="126">
        <v>0</v>
      </c>
      <c r="G2" s="126">
        <v>0</v>
      </c>
      <c r="H2" s="126">
        <v>1</v>
      </c>
      <c r="I2" s="126">
        <v>1</v>
      </c>
      <c r="J2" s="126">
        <v>1</v>
      </c>
      <c r="K2" s="126">
        <v>1</v>
      </c>
      <c r="L2" s="126">
        <v>2</v>
      </c>
      <c r="M2" s="126">
        <v>2</v>
      </c>
      <c r="N2" s="126">
        <v>2</v>
      </c>
      <c r="O2" s="126">
        <v>3</v>
      </c>
      <c r="P2" s="126">
        <v>3</v>
      </c>
      <c r="Q2" s="126">
        <v>4</v>
      </c>
    </row>
    <row r="3" spans="1:17" x14ac:dyDescent="0.25">
      <c r="A3" s="43"/>
      <c r="B3" s="43" t="s">
        <v>204</v>
      </c>
      <c r="C3" s="126">
        <v>0</v>
      </c>
      <c r="D3" s="126">
        <v>1</v>
      </c>
      <c r="E3" s="126">
        <v>2</v>
      </c>
      <c r="F3" s="126">
        <v>3</v>
      </c>
      <c r="G3" s="126">
        <v>4</v>
      </c>
      <c r="H3" s="126">
        <v>0</v>
      </c>
      <c r="I3" s="126">
        <v>1</v>
      </c>
      <c r="J3" s="126">
        <v>2</v>
      </c>
      <c r="K3" s="126">
        <v>3</v>
      </c>
      <c r="L3" s="126">
        <v>0</v>
      </c>
      <c r="M3" s="126">
        <v>1</v>
      </c>
      <c r="N3" s="126">
        <v>2</v>
      </c>
      <c r="O3" s="126">
        <v>0</v>
      </c>
      <c r="P3" s="126">
        <v>1</v>
      </c>
      <c r="Q3" s="126">
        <v>0</v>
      </c>
    </row>
    <row r="4" spans="1:17" x14ac:dyDescent="0.25">
      <c r="A4" s="43"/>
      <c r="B4" s="43"/>
      <c r="C4" s="46" t="str">
        <f>C2&amp;C3</f>
        <v>00</v>
      </c>
      <c r="D4" s="46" t="str">
        <f t="shared" ref="D4:Q4" si="0">D2&amp;D3</f>
        <v>01</v>
      </c>
      <c r="E4" s="46" t="str">
        <f t="shared" si="0"/>
        <v>02</v>
      </c>
      <c r="F4" s="46" t="str">
        <f t="shared" si="0"/>
        <v>03</v>
      </c>
      <c r="G4" s="46" t="str">
        <f t="shared" si="0"/>
        <v>04</v>
      </c>
      <c r="H4" s="46" t="str">
        <f t="shared" si="0"/>
        <v>10</v>
      </c>
      <c r="I4" s="46" t="str">
        <f t="shared" si="0"/>
        <v>11</v>
      </c>
      <c r="J4" s="46" t="str">
        <f t="shared" si="0"/>
        <v>12</v>
      </c>
      <c r="K4" s="46" t="str">
        <f t="shared" si="0"/>
        <v>13</v>
      </c>
      <c r="L4" s="46" t="str">
        <f t="shared" si="0"/>
        <v>20</v>
      </c>
      <c r="M4" s="46" t="str">
        <f t="shared" si="0"/>
        <v>21</v>
      </c>
      <c r="N4" s="46" t="str">
        <f t="shared" si="0"/>
        <v>22</v>
      </c>
      <c r="O4" s="46" t="str">
        <f t="shared" si="0"/>
        <v>30</v>
      </c>
      <c r="P4" s="46" t="str">
        <f t="shared" si="0"/>
        <v>31</v>
      </c>
      <c r="Q4" s="46" t="str">
        <f t="shared" si="0"/>
        <v>40</v>
      </c>
    </row>
    <row r="5" spans="1:17" x14ac:dyDescent="0.25">
      <c r="A5" s="43">
        <v>2686106</v>
      </c>
      <c r="B5" s="70" t="e">
        <f>VLOOKUP(A5,#REF!,2,FALSE)</f>
        <v>#REF!</v>
      </c>
      <c r="C5" s="51">
        <v>0</v>
      </c>
      <c r="D5" s="51">
        <v>0</v>
      </c>
      <c r="E5" s="51">
        <v>0</v>
      </c>
      <c r="F5" s="51">
        <v>0</v>
      </c>
      <c r="G5" s="51">
        <v>0</v>
      </c>
      <c r="H5" s="51">
        <v>1</v>
      </c>
      <c r="I5" s="51">
        <v>0</v>
      </c>
      <c r="J5" s="51">
        <v>0</v>
      </c>
      <c r="K5" s="47">
        <v>0</v>
      </c>
      <c r="L5" s="47">
        <v>0</v>
      </c>
      <c r="M5" s="47">
        <v>0</v>
      </c>
      <c r="N5" s="47">
        <v>0</v>
      </c>
      <c r="O5" s="47">
        <v>1</v>
      </c>
      <c r="P5" s="47">
        <v>0</v>
      </c>
      <c r="Q5" s="47">
        <v>0</v>
      </c>
    </row>
    <row r="6" spans="1:17" x14ac:dyDescent="0.25">
      <c r="A6" s="43" t="s">
        <v>375</v>
      </c>
      <c r="B6" s="70" t="e">
        <f>VLOOKUP(A6,#REF!,2,FALSE)</f>
        <v>#REF!</v>
      </c>
      <c r="C6" s="51">
        <v>0</v>
      </c>
      <c r="D6" s="51">
        <v>1</v>
      </c>
      <c r="E6" s="51">
        <v>1</v>
      </c>
      <c r="F6" s="51">
        <v>1</v>
      </c>
      <c r="G6" s="51">
        <v>1</v>
      </c>
      <c r="H6" s="51">
        <v>0</v>
      </c>
      <c r="I6" s="51">
        <v>1</v>
      </c>
      <c r="J6" s="51">
        <v>1</v>
      </c>
      <c r="K6" s="47">
        <v>1</v>
      </c>
      <c r="L6" s="47">
        <v>1</v>
      </c>
      <c r="M6" s="47">
        <v>1</v>
      </c>
      <c r="N6" s="47">
        <v>1</v>
      </c>
      <c r="O6" s="47">
        <v>1</v>
      </c>
      <c r="P6" s="47">
        <v>1</v>
      </c>
      <c r="Q6" s="47">
        <v>1</v>
      </c>
    </row>
    <row r="7" spans="1:17" x14ac:dyDescent="0.25">
      <c r="A7" s="43" t="s">
        <v>217</v>
      </c>
      <c r="B7" s="70" t="e">
        <f>VLOOKUP(A7,#REF!,2,FALSE)</f>
        <v>#REF!</v>
      </c>
      <c r="C7" s="51">
        <v>0</v>
      </c>
      <c r="D7" s="51">
        <v>0</v>
      </c>
      <c r="E7" s="51">
        <v>0</v>
      </c>
      <c r="F7" s="51">
        <v>0</v>
      </c>
      <c r="G7" s="51">
        <v>0</v>
      </c>
      <c r="H7" s="51">
        <v>0</v>
      </c>
      <c r="I7" s="51">
        <v>0</v>
      </c>
      <c r="J7" s="51">
        <v>0</v>
      </c>
      <c r="K7" s="47">
        <v>0</v>
      </c>
      <c r="L7" s="47">
        <v>1</v>
      </c>
      <c r="M7" s="47">
        <v>0</v>
      </c>
      <c r="N7" s="47">
        <v>0</v>
      </c>
      <c r="O7" s="47">
        <v>1</v>
      </c>
      <c r="P7" s="47">
        <v>0</v>
      </c>
      <c r="Q7" s="47">
        <v>2</v>
      </c>
    </row>
    <row r="8" spans="1:17" x14ac:dyDescent="0.25">
      <c r="A8" s="43" t="s">
        <v>132</v>
      </c>
      <c r="B8" s="70" t="e">
        <f>VLOOKUP(A8,#REF!,2,FALSE)</f>
        <v>#REF!</v>
      </c>
      <c r="C8" s="51">
        <v>0</v>
      </c>
      <c r="D8" s="51">
        <v>1</v>
      </c>
      <c r="E8" s="51">
        <v>1</v>
      </c>
      <c r="F8" s="51">
        <v>1</v>
      </c>
      <c r="G8" s="51">
        <v>1</v>
      </c>
      <c r="H8" s="51">
        <v>0</v>
      </c>
      <c r="I8" s="51">
        <v>1</v>
      </c>
      <c r="J8" s="51">
        <v>1</v>
      </c>
      <c r="K8" s="47">
        <v>1</v>
      </c>
      <c r="L8" s="47">
        <v>0</v>
      </c>
      <c r="M8" s="47">
        <v>1</v>
      </c>
      <c r="N8" s="47">
        <v>1</v>
      </c>
      <c r="O8" s="47">
        <v>0</v>
      </c>
      <c r="P8" s="47">
        <v>1</v>
      </c>
      <c r="Q8" s="47">
        <v>0</v>
      </c>
    </row>
    <row r="9" spans="1:17" x14ac:dyDescent="0.25">
      <c r="A9" s="43" t="s">
        <v>144</v>
      </c>
      <c r="B9" s="70" t="e">
        <f>VLOOKUP(A9,#REF!,2,FALSE)</f>
        <v>#REF!</v>
      </c>
      <c r="C9" s="51">
        <v>0</v>
      </c>
      <c r="D9" s="51">
        <v>1</v>
      </c>
      <c r="E9" s="51">
        <v>2</v>
      </c>
      <c r="F9" s="51">
        <v>3</v>
      </c>
      <c r="G9" s="51">
        <v>4</v>
      </c>
      <c r="H9" s="51">
        <v>0</v>
      </c>
      <c r="I9" s="51">
        <v>1</v>
      </c>
      <c r="J9" s="51">
        <v>2</v>
      </c>
      <c r="K9" s="47">
        <v>3</v>
      </c>
      <c r="L9" s="47">
        <v>0</v>
      </c>
      <c r="M9" s="47">
        <v>1</v>
      </c>
      <c r="N9" s="47">
        <v>2</v>
      </c>
      <c r="O9" s="47">
        <v>0</v>
      </c>
      <c r="P9" s="47">
        <v>1</v>
      </c>
      <c r="Q9" s="47">
        <v>0</v>
      </c>
    </row>
    <row r="10" spans="1:17" x14ac:dyDescent="0.25">
      <c r="A10" s="70">
        <v>9824541</v>
      </c>
      <c r="B10" s="70" t="e">
        <f>VLOOKUP(A10,#REF!,2,FALSE)</f>
        <v>#REF!</v>
      </c>
      <c r="C10" s="51">
        <v>0</v>
      </c>
      <c r="D10" s="51">
        <v>4</v>
      </c>
      <c r="E10" s="51">
        <v>4</v>
      </c>
      <c r="F10" s="51">
        <v>4</v>
      </c>
      <c r="G10" s="51">
        <v>4</v>
      </c>
      <c r="H10" s="51">
        <v>0</v>
      </c>
      <c r="I10" s="51">
        <v>4</v>
      </c>
      <c r="J10" s="51">
        <v>4</v>
      </c>
      <c r="K10" s="47">
        <v>4</v>
      </c>
      <c r="L10" s="47">
        <v>0</v>
      </c>
      <c r="M10" s="47">
        <v>4</v>
      </c>
      <c r="N10" s="47">
        <v>4</v>
      </c>
      <c r="O10" s="47">
        <v>0</v>
      </c>
      <c r="P10" s="47">
        <v>4</v>
      </c>
      <c r="Q10" s="47">
        <v>0</v>
      </c>
    </row>
    <row r="11" spans="1:17" x14ac:dyDescent="0.25">
      <c r="A11" s="43" t="s">
        <v>498</v>
      </c>
      <c r="B11" s="70" t="e">
        <f>VLOOKUP(A11,#REF!,2,FALSE)</f>
        <v>#REF!</v>
      </c>
      <c r="C11" s="51">
        <v>0</v>
      </c>
      <c r="D11" s="51">
        <v>1</v>
      </c>
      <c r="E11" s="51">
        <v>1</v>
      </c>
      <c r="F11" s="51">
        <v>1</v>
      </c>
      <c r="G11" s="51">
        <v>1</v>
      </c>
      <c r="H11" s="51">
        <v>0</v>
      </c>
      <c r="I11" s="51">
        <v>1</v>
      </c>
      <c r="J11" s="51">
        <v>1</v>
      </c>
      <c r="K11" s="47">
        <v>1</v>
      </c>
      <c r="L11" s="47">
        <v>0</v>
      </c>
      <c r="M11" s="47">
        <v>1</v>
      </c>
      <c r="N11" s="47">
        <v>1</v>
      </c>
      <c r="O11" s="47">
        <v>0</v>
      </c>
      <c r="P11" s="47">
        <v>1</v>
      </c>
      <c r="Q11" s="47">
        <v>0</v>
      </c>
    </row>
    <row r="12" spans="1:17" x14ac:dyDescent="0.25">
      <c r="A12" s="43" t="s">
        <v>138</v>
      </c>
      <c r="B12" s="70" t="e">
        <f>VLOOKUP(A12,#REF!,2,FALSE)</f>
        <v>#REF!</v>
      </c>
      <c r="C12" s="51">
        <v>0</v>
      </c>
      <c r="D12" s="51">
        <v>1</v>
      </c>
      <c r="E12" s="51">
        <v>2</v>
      </c>
      <c r="F12" s="51">
        <v>3</v>
      </c>
      <c r="G12" s="51">
        <v>4</v>
      </c>
      <c r="H12" s="51">
        <v>0</v>
      </c>
      <c r="I12" s="51">
        <v>1</v>
      </c>
      <c r="J12" s="51">
        <v>2</v>
      </c>
      <c r="K12" s="47">
        <v>3</v>
      </c>
      <c r="L12" s="47">
        <v>0</v>
      </c>
      <c r="M12" s="47">
        <v>1</v>
      </c>
      <c r="N12" s="47">
        <v>2</v>
      </c>
      <c r="O12" s="47">
        <v>0</v>
      </c>
      <c r="P12" s="47">
        <v>1</v>
      </c>
      <c r="Q12" s="47">
        <f t="shared" ref="Q12" si="1">Q11</f>
        <v>0</v>
      </c>
    </row>
    <row r="13" spans="1:17" x14ac:dyDescent="0.25">
      <c r="A13" s="43" t="s">
        <v>17</v>
      </c>
      <c r="B13" s="70" t="e">
        <f>VLOOKUP(A13,#REF!,2,FALSE)</f>
        <v>#REF!</v>
      </c>
      <c r="C13" s="51">
        <f>C12</f>
        <v>0</v>
      </c>
      <c r="D13" s="51">
        <f t="shared" ref="D13:Q13" si="2">D12</f>
        <v>1</v>
      </c>
      <c r="E13" s="51">
        <f t="shared" si="2"/>
        <v>2</v>
      </c>
      <c r="F13" s="51">
        <f t="shared" si="2"/>
        <v>3</v>
      </c>
      <c r="G13" s="51">
        <f t="shared" si="2"/>
        <v>4</v>
      </c>
      <c r="H13" s="51">
        <f t="shared" si="2"/>
        <v>0</v>
      </c>
      <c r="I13" s="51">
        <f t="shared" si="2"/>
        <v>1</v>
      </c>
      <c r="J13" s="51">
        <f t="shared" si="2"/>
        <v>2</v>
      </c>
      <c r="K13" s="51">
        <f t="shared" si="2"/>
        <v>3</v>
      </c>
      <c r="L13" s="51">
        <f t="shared" si="2"/>
        <v>0</v>
      </c>
      <c r="M13" s="51">
        <f t="shared" si="2"/>
        <v>1</v>
      </c>
      <c r="N13" s="51">
        <f t="shared" si="2"/>
        <v>2</v>
      </c>
      <c r="O13" s="51">
        <f t="shared" si="2"/>
        <v>0</v>
      </c>
      <c r="P13" s="51">
        <f t="shared" si="2"/>
        <v>1</v>
      </c>
      <c r="Q13" s="51">
        <f t="shared" si="2"/>
        <v>0</v>
      </c>
    </row>
    <row r="14" spans="1:17" x14ac:dyDescent="0.25">
      <c r="A14" s="43" t="s">
        <v>91</v>
      </c>
      <c r="B14" s="70" t="e">
        <f>VLOOKUP(A14,#REF!,2,FALSE)</f>
        <v>#REF!</v>
      </c>
      <c r="C14" s="51">
        <v>1</v>
      </c>
      <c r="D14" s="51">
        <v>4</v>
      </c>
      <c r="E14" s="51">
        <v>3</v>
      </c>
      <c r="F14" s="51">
        <v>2</v>
      </c>
      <c r="G14" s="51">
        <v>1</v>
      </c>
      <c r="H14" s="51">
        <v>0</v>
      </c>
      <c r="I14" s="51">
        <v>3</v>
      </c>
      <c r="J14" s="51">
        <v>2</v>
      </c>
      <c r="K14" s="47">
        <v>1</v>
      </c>
      <c r="L14" s="47">
        <v>1</v>
      </c>
      <c r="M14" s="47">
        <v>2</v>
      </c>
      <c r="N14" s="47">
        <v>1</v>
      </c>
      <c r="O14" s="47">
        <v>0</v>
      </c>
      <c r="P14" s="47">
        <v>1</v>
      </c>
      <c r="Q14" s="47">
        <v>1</v>
      </c>
    </row>
    <row r="15" spans="1:17" x14ac:dyDescent="0.25">
      <c r="A15" s="118" t="s">
        <v>151</v>
      </c>
      <c r="B15" s="70" t="e">
        <f>VLOOKUP(A15,#REF!,2,FALSE)</f>
        <v>#REF!</v>
      </c>
      <c r="C15" s="51">
        <v>0</v>
      </c>
      <c r="D15" s="51">
        <v>2</v>
      </c>
      <c r="E15" s="51">
        <v>4</v>
      </c>
      <c r="F15" s="51">
        <v>6</v>
      </c>
      <c r="G15" s="51">
        <v>8</v>
      </c>
      <c r="H15" s="51">
        <v>0</v>
      </c>
      <c r="I15" s="51">
        <v>2</v>
      </c>
      <c r="J15" s="51">
        <v>4</v>
      </c>
      <c r="K15" s="47">
        <v>6</v>
      </c>
      <c r="L15" s="47">
        <v>0</v>
      </c>
      <c r="M15" s="47">
        <v>2</v>
      </c>
      <c r="N15" s="47">
        <v>4</v>
      </c>
      <c r="O15" s="47">
        <v>0</v>
      </c>
      <c r="P15" s="47">
        <v>2</v>
      </c>
      <c r="Q15" s="47">
        <v>0</v>
      </c>
    </row>
  </sheetData>
  <sheetProtection algorithmName="SHA-512" hashValue="k/C8mG1XnbSfKU5cSkWheIv/tUdJi3yanbvwBTZ9be40ls+dKYlVWGBXWgPx2O0Ew5Mm1c5HzTSRGVS+rZWMDg==" saltValue="ygWw+YmeTaH/J9O9odREVw==" spinCount="100000" sheet="1" objects="1" scenarios="1"/>
  <mergeCells count="1">
    <mergeCell ref="A1:Q1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X138"/>
  <sheetViews>
    <sheetView view="pageBreakPreview" zoomScale="85" zoomScaleNormal="85" zoomScaleSheetLayoutView="85" workbookViewId="0">
      <selection activeCell="G2" sqref="G2:L2"/>
    </sheetView>
  </sheetViews>
  <sheetFormatPr baseColWidth="10" defaultColWidth="11.42578125" defaultRowHeight="15" x14ac:dyDescent="0.25"/>
  <cols>
    <col min="1" max="1" width="10.7109375" style="136" customWidth="1"/>
    <col min="2" max="2" width="25.140625" style="136" customWidth="1"/>
    <col min="3" max="3" width="9.28515625" style="136" customWidth="1"/>
    <col min="4" max="4" width="1.7109375" style="136" customWidth="1"/>
    <col min="5" max="8" width="11" style="136" customWidth="1"/>
    <col min="9" max="9" width="19.85546875" style="136" customWidth="1"/>
    <col min="10" max="10" width="0.5703125" style="136" customWidth="1"/>
    <col min="11" max="11" width="5" style="136" customWidth="1"/>
    <col min="12" max="12" width="20.5703125" style="137" bestFit="1" customWidth="1"/>
    <col min="13" max="13" width="1.7109375" style="148" customWidth="1"/>
    <col min="14" max="14" width="17.85546875" style="136" customWidth="1"/>
    <col min="15" max="15" width="9" style="148" customWidth="1"/>
    <col min="16" max="16" width="15.28515625" style="144" customWidth="1"/>
    <col min="17" max="17" width="1.5703125" style="131" customWidth="1"/>
    <col min="18" max="18" width="13.5703125" style="131" customWidth="1"/>
    <col min="19" max="19" width="1.7109375" style="131" customWidth="1"/>
    <col min="20" max="20" width="1.7109375" style="136" customWidth="1"/>
    <col min="21" max="21" width="20.5703125" style="136" customWidth="1"/>
    <col min="22" max="23" width="4.5703125" style="136" customWidth="1"/>
    <col min="24" max="16384" width="11.42578125" style="136"/>
  </cols>
  <sheetData>
    <row r="1" spans="2:24" x14ac:dyDescent="0.25">
      <c r="B1" s="17"/>
      <c r="C1" s="17"/>
      <c r="D1" s="17"/>
      <c r="E1" s="17"/>
      <c r="F1" s="17"/>
      <c r="G1" s="17"/>
      <c r="H1" s="17"/>
      <c r="I1" s="17"/>
      <c r="J1" s="17"/>
      <c r="K1" s="17"/>
      <c r="L1" s="27"/>
      <c r="M1" s="97"/>
      <c r="N1" s="17"/>
      <c r="O1" s="97"/>
      <c r="P1" s="97"/>
      <c r="Q1" s="17"/>
      <c r="R1" s="17"/>
      <c r="S1" s="17"/>
    </row>
    <row r="2" spans="2:24" ht="20.25" customHeight="1" x14ac:dyDescent="0.25">
      <c r="B2" s="39" t="s">
        <v>193</v>
      </c>
      <c r="C2" s="17"/>
      <c r="D2" s="17"/>
      <c r="E2" s="149" t="s">
        <v>524</v>
      </c>
      <c r="F2" s="17"/>
      <c r="G2" s="387"/>
      <c r="H2" s="388"/>
      <c r="I2" s="388"/>
      <c r="J2" s="388"/>
      <c r="K2" s="388"/>
      <c r="L2" s="389"/>
      <c r="M2" s="98"/>
      <c r="O2" s="97"/>
      <c r="P2" s="97"/>
      <c r="Q2" s="17"/>
      <c r="R2" s="17"/>
      <c r="S2" s="17"/>
    </row>
    <row r="3" spans="2:24" x14ac:dyDescent="0.25">
      <c r="B3" s="17"/>
      <c r="C3" s="17"/>
      <c r="D3" s="17"/>
      <c r="E3" s="17"/>
      <c r="F3" s="17"/>
      <c r="G3" s="17"/>
      <c r="H3" s="17"/>
      <c r="I3" s="17"/>
      <c r="J3" s="17"/>
      <c r="K3" s="17"/>
      <c r="L3" s="27"/>
      <c r="M3" s="97"/>
      <c r="N3" s="17"/>
      <c r="O3" s="97"/>
      <c r="Q3" s="17"/>
      <c r="S3" s="17"/>
    </row>
    <row r="4" spans="2:24" s="103" customFormat="1" ht="25.5" x14ac:dyDescent="0.25">
      <c r="B4" s="150" t="s">
        <v>525</v>
      </c>
      <c r="E4" s="149" t="str">
        <f>'EBM00256'!C2</f>
        <v>2000070M</v>
      </c>
      <c r="G4" s="116" t="s">
        <v>509</v>
      </c>
      <c r="M4" s="106"/>
      <c r="N4" s="104" t="str">
        <f>'EBM00256'!E1</f>
        <v>Rev. C</v>
      </c>
      <c r="O4" s="106"/>
      <c r="P4" s="106"/>
      <c r="Q4" s="105"/>
      <c r="R4" s="107"/>
      <c r="S4" s="107"/>
    </row>
    <row r="5" spans="2:24" x14ac:dyDescent="0.25">
      <c r="B5" s="394" t="s">
        <v>66</v>
      </c>
      <c r="C5" s="395"/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395"/>
      <c r="S5" s="395"/>
    </row>
    <row r="6" spans="2:24" ht="5.25" customHeight="1" x14ac:dyDescent="0.25"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73"/>
      <c r="M6" s="144"/>
      <c r="N6" s="131"/>
      <c r="O6" s="144"/>
      <c r="P6" s="368"/>
      <c r="Q6" s="4"/>
      <c r="R6" s="5"/>
      <c r="S6" s="4"/>
    </row>
    <row r="7" spans="2:24" ht="20.25" x14ac:dyDescent="0.25">
      <c r="B7" s="135" t="s">
        <v>526</v>
      </c>
      <c r="C7" s="126"/>
      <c r="D7" s="131"/>
      <c r="E7" s="131"/>
      <c r="F7" s="131"/>
      <c r="G7" s="131"/>
      <c r="H7" s="131"/>
      <c r="I7" s="131"/>
      <c r="J7" s="172"/>
      <c r="K7" s="175"/>
      <c r="L7" s="138" t="s">
        <v>75</v>
      </c>
      <c r="M7" s="99"/>
      <c r="N7" s="138" t="s">
        <v>546</v>
      </c>
      <c r="O7" s="369" t="s">
        <v>716</v>
      </c>
      <c r="P7" s="370" t="s">
        <v>189</v>
      </c>
      <c r="Q7" s="130"/>
      <c r="R7" s="2"/>
      <c r="S7" s="130"/>
      <c r="U7" s="121" t="s">
        <v>543</v>
      </c>
    </row>
    <row r="8" spans="2:24" x14ac:dyDescent="0.25">
      <c r="B8" s="131"/>
      <c r="C8" s="145"/>
      <c r="D8" s="131"/>
      <c r="E8" s="131"/>
      <c r="F8" s="131"/>
      <c r="G8" s="131"/>
      <c r="H8" s="131"/>
      <c r="I8" s="131"/>
      <c r="J8" s="131"/>
      <c r="K8" s="131"/>
      <c r="L8" s="173"/>
      <c r="M8" s="144"/>
      <c r="N8" s="131"/>
      <c r="O8" s="144"/>
      <c r="P8" s="371"/>
      <c r="Q8" s="7"/>
      <c r="R8" s="9"/>
      <c r="S8" s="7"/>
      <c r="U8" s="124" t="s">
        <v>544</v>
      </c>
    </row>
    <row r="9" spans="2:24" s="131" customFormat="1" ht="5.25" customHeight="1" x14ac:dyDescent="0.25">
      <c r="C9" s="145"/>
      <c r="L9" s="173"/>
      <c r="M9" s="144"/>
      <c r="N9" s="173"/>
      <c r="O9" s="144"/>
      <c r="P9" s="372"/>
    </row>
    <row r="10" spans="2:24" s="131" customFormat="1" x14ac:dyDescent="0.25">
      <c r="C10" s="139" t="s">
        <v>187</v>
      </c>
      <c r="D10" s="140"/>
      <c r="E10" s="140" t="str">
        <f>'EBM00256'!C5</f>
        <v>Mainboard Fujitsu D3433-S2 Kabylake mini ITX</v>
      </c>
      <c r="F10" s="140"/>
      <c r="G10" s="140"/>
      <c r="H10" s="140"/>
      <c r="I10" s="140"/>
      <c r="J10" s="115"/>
      <c r="K10" s="115"/>
      <c r="L10" s="141" t="str">
        <f>IF(INDEX('EBM00256'!B:B,MATCH(E10,'EBM00256'!C:C,0))=0,"",INDEX('EBM00256'!B:B,MATCH(E10,'EBM00256'!C:C,0)))</f>
        <v>3050031M</v>
      </c>
      <c r="M10" s="147"/>
      <c r="N10" s="141">
        <f>VLOOKUP(L10,'EBM00256'!B:F,3,FALSE)</f>
        <v>1</v>
      </c>
      <c r="O10" s="144" t="str">
        <f>IFERROR(VLOOKUP(L10,#REF!,4,FALSE),"")</f>
        <v/>
      </c>
      <c r="P10" s="372">
        <f>IFERROR(VLOOKUP(L10,'EBM00256'!$B:$F,4,),)</f>
        <v>167.90123456790121</v>
      </c>
      <c r="Q10" s="140"/>
      <c r="R10" s="31"/>
      <c r="S10" s="32"/>
      <c r="T10" s="26" t="e">
        <f>O10*Q10</f>
        <v>#VALUE!</v>
      </c>
      <c r="U10" s="84">
        <f t="shared" ref="U10:U41" si="0">N10*P10</f>
        <v>167.90123456790121</v>
      </c>
      <c r="V10" s="84"/>
      <c r="X10" s="136"/>
    </row>
    <row r="11" spans="2:24" s="131" customFormat="1" x14ac:dyDescent="0.25">
      <c r="C11" s="139" t="s">
        <v>527</v>
      </c>
      <c r="D11" s="140"/>
      <c r="E11" s="140" t="str">
        <f>'EBM00256'!C6</f>
        <v>Heatpipe THA.leia Gen3 D=6mm, L=250mm</v>
      </c>
      <c r="F11" s="140"/>
      <c r="G11" s="140"/>
      <c r="H11" s="140"/>
      <c r="I11" s="140"/>
      <c r="J11" s="115"/>
      <c r="K11" s="115"/>
      <c r="L11" s="141" t="str">
        <f>IF(INDEX('EBM00256'!B:B,MATCH(E11,'EBM00256'!C:C,0))=0,"",INDEX('EBM00256'!B:B,MATCH(E11,'EBM00256'!C:C,0)))</f>
        <v>7300144M-1</v>
      </c>
      <c r="M11" s="147"/>
      <c r="N11" s="141">
        <f>VLOOKUP(L11,'EBM00256'!B:F,3,FALSE)</f>
        <v>3</v>
      </c>
      <c r="O11" s="144" t="str">
        <f>IFERROR(VLOOKUP(L11,#REF!,4,FALSE),"")</f>
        <v/>
      </c>
      <c r="P11" s="372">
        <f>IFERROR(VLOOKUP(L11,'EBM00256'!$B:$F,4,),)</f>
        <v>4.7901234567901234</v>
      </c>
      <c r="Q11" s="140"/>
      <c r="R11" s="31"/>
      <c r="S11" s="32"/>
      <c r="U11" s="84">
        <f t="shared" si="0"/>
        <v>14.37037037037037</v>
      </c>
      <c r="V11" s="144"/>
      <c r="X11" s="136"/>
    </row>
    <row r="12" spans="2:24" s="131" customFormat="1" x14ac:dyDescent="0.25">
      <c r="C12" s="154" t="s">
        <v>528</v>
      </c>
      <c r="D12" s="140"/>
      <c r="E12" s="140" t="str">
        <f>'EBM00256'!C7</f>
        <v>Verpackungsset 2.0 TL³/OV² 21.5", 24", 27"</v>
      </c>
      <c r="F12" s="140"/>
      <c r="G12" s="140"/>
      <c r="H12" s="140"/>
      <c r="I12" s="140"/>
      <c r="J12" s="115"/>
      <c r="K12" s="115"/>
      <c r="L12" s="141" t="str">
        <f>IF(INDEX('EBM00256'!B:B,MATCH(E12,'EBM00256'!C:C,0))=0,"",INDEX('EBM00256'!B:B,MATCH(E12,'EBM00256'!C:C,0)))</f>
        <v>7200027M</v>
      </c>
      <c r="M12" s="147"/>
      <c r="N12" s="141">
        <f>VLOOKUP(L12,'EBM00256'!B:F,3,FALSE)</f>
        <v>1</v>
      </c>
      <c r="O12" s="144" t="str">
        <f>IFERROR(VLOOKUP(L12,#REF!,4,FALSE),"")</f>
        <v/>
      </c>
      <c r="P12" s="372">
        <f>IFERROR(VLOOKUP(L12,'EBM00256'!$B:$F,4,),)</f>
        <v>17.098765432098762</v>
      </c>
      <c r="Q12" s="140"/>
      <c r="R12" s="31"/>
      <c r="S12" s="32"/>
      <c r="U12" s="84">
        <f t="shared" si="0"/>
        <v>17.098765432098762</v>
      </c>
      <c r="V12" s="144"/>
      <c r="X12" s="136"/>
    </row>
    <row r="13" spans="2:24" s="131" customFormat="1" x14ac:dyDescent="0.25">
      <c r="C13" s="139"/>
      <c r="D13" s="140"/>
      <c r="E13" s="140" t="str">
        <f>'EBM00256'!C8</f>
        <v>Aufkleber Verpackung MCD</v>
      </c>
      <c r="F13" s="140"/>
      <c r="G13" s="140"/>
      <c r="H13" s="140"/>
      <c r="I13" s="140"/>
      <c r="J13" s="115"/>
      <c r="K13" s="115"/>
      <c r="L13" s="141" t="str">
        <f>IF(INDEX('EBM00256'!B:B,MATCH(E13,'EBM00256'!C:C,0))=0,"",INDEX('EBM00256'!B:B,MATCH(E13,'EBM00256'!C:C,0)))</f>
        <v>7000056M</v>
      </c>
      <c r="M13" s="147"/>
      <c r="N13" s="141">
        <f>VLOOKUP(L13,'EBM00256'!B:F,3,FALSE)</f>
        <v>2</v>
      </c>
      <c r="O13" s="144" t="str">
        <f>IFERROR(VLOOKUP(L13,#REF!,4,FALSE),"")</f>
        <v/>
      </c>
      <c r="P13" s="372">
        <f>IFERROR(VLOOKUP(L13,'EBM00256'!$B:$F,4,),)</f>
        <v>0.68617283950617269</v>
      </c>
      <c r="Q13" s="140"/>
      <c r="R13" s="31"/>
      <c r="S13" s="32"/>
      <c r="U13" s="84">
        <f t="shared" si="0"/>
        <v>1.3723456790123454</v>
      </c>
      <c r="V13" s="144"/>
      <c r="X13" s="136"/>
    </row>
    <row r="14" spans="2:24" s="131" customFormat="1" x14ac:dyDescent="0.25">
      <c r="C14" s="139"/>
      <c r="D14" s="140"/>
      <c r="E14" s="140" t="str">
        <f>'EBM00256'!C9</f>
        <v>Produktschutzhülle MCD TL³ /OV²</v>
      </c>
      <c r="F14" s="140"/>
      <c r="G14" s="140"/>
      <c r="H14" s="140"/>
      <c r="I14" s="140"/>
      <c r="J14" s="115"/>
      <c r="K14" s="115"/>
      <c r="L14" s="141" t="str">
        <f>IF(INDEX('EBM00256'!B:B,MATCH(E14,'EBM00256'!C:C,0))=0,"",INDEX('EBM00256'!B:B,MATCH(E14,'EBM00256'!C:C,0)))</f>
        <v>7200019M-1</v>
      </c>
      <c r="M14" s="147"/>
      <c r="N14" s="141">
        <f>VLOOKUP(L14,'EBM00256'!B:F,3,FALSE)</f>
        <v>1</v>
      </c>
      <c r="O14" s="144" t="str">
        <f>IFERROR(VLOOKUP(L14,#REF!,4,FALSE),"")</f>
        <v/>
      </c>
      <c r="P14" s="372">
        <f>IFERROR(VLOOKUP(L14,'EBM00256'!$B:$F,4,),)</f>
        <v>0.49135802469135803</v>
      </c>
      <c r="Q14" s="140"/>
      <c r="R14" s="31"/>
      <c r="S14" s="32"/>
      <c r="U14" s="84">
        <f t="shared" si="0"/>
        <v>0.49135802469135803</v>
      </c>
      <c r="V14" s="144"/>
      <c r="X14" s="136"/>
    </row>
    <row r="15" spans="2:24" s="131" customFormat="1" x14ac:dyDescent="0.25">
      <c r="C15" s="139"/>
      <c r="D15" s="140"/>
      <c r="E15" s="140" t="str">
        <f>'EBM00256'!C10</f>
        <v>Kabelbaum MCD TL Gen3 12V für D3243-S</v>
      </c>
      <c r="F15" s="140"/>
      <c r="G15" s="140"/>
      <c r="H15" s="140"/>
      <c r="I15" s="140"/>
      <c r="J15" s="115"/>
      <c r="K15" s="115"/>
      <c r="L15" s="141" t="str">
        <f>IF(INDEX('EBM00256'!B:B,MATCH(E15,'EBM00256'!C:C,0))=0,"",INDEX('EBM00256'!B:B,MATCH(E15,'EBM00256'!C:C,0)))</f>
        <v>7100155M-1</v>
      </c>
      <c r="M15" s="147"/>
      <c r="N15" s="141">
        <f>VLOOKUP(L15,'EBM00256'!B:F,3,FALSE)</f>
        <v>1</v>
      </c>
      <c r="O15" s="144" t="str">
        <f>IFERROR(VLOOKUP(L15,#REF!,4,FALSE),"")</f>
        <v/>
      </c>
      <c r="P15" s="372">
        <f>IFERROR(VLOOKUP(L15,'EBM00256'!$B:$F,4,),)</f>
        <v>16.123456790123456</v>
      </c>
      <c r="Q15" s="140"/>
      <c r="R15" s="31"/>
      <c r="S15" s="32"/>
      <c r="U15" s="84">
        <f t="shared" si="0"/>
        <v>16.123456790123456</v>
      </c>
      <c r="V15" s="144"/>
      <c r="X15" s="136"/>
    </row>
    <row r="16" spans="2:24" s="131" customFormat="1" x14ac:dyDescent="0.25">
      <c r="C16" s="139"/>
      <c r="D16" s="140"/>
      <c r="E16" s="140" t="str">
        <f>'EBM00256'!C11</f>
        <v>Kabel SATA gewinkelt, 50cm, gelb, intern, mit Clip</v>
      </c>
      <c r="F16" s="140"/>
      <c r="G16" s="140"/>
      <c r="H16" s="140"/>
      <c r="I16" s="140"/>
      <c r="J16" s="115"/>
      <c r="K16" s="115"/>
      <c r="L16" s="141" t="str">
        <f>IF(INDEX('EBM00256'!B:B,MATCH(E16,'EBM00256'!C:C,0))=0,"",INDEX('EBM00256'!B:B,MATCH(E16,'EBM00256'!C:C,0)))</f>
        <v>7100225M</v>
      </c>
      <c r="M16" s="147"/>
      <c r="N16" s="141">
        <f>IF(OR(L50='EBM00256'!B95,L50='EBM00256'!B96,L50='EBM00256'!B97),"0",SUM(N50:N53))</f>
        <v>1</v>
      </c>
      <c r="O16" s="144" t="str">
        <f>IFERROR(VLOOKUP(L16,#REF!,4,FALSE),"")</f>
        <v/>
      </c>
      <c r="P16" s="372">
        <f>IFERROR(VLOOKUP(L16,'EBM00256'!$B:$F,4,),)</f>
        <v>0.7407407407407407</v>
      </c>
      <c r="Q16" s="140"/>
      <c r="R16" s="31"/>
      <c r="S16" s="32"/>
      <c r="U16" s="84">
        <f t="shared" si="0"/>
        <v>0.7407407407407407</v>
      </c>
      <c r="V16" s="144"/>
      <c r="X16" s="136"/>
    </row>
    <row r="17" spans="3:24" s="131" customFormat="1" x14ac:dyDescent="0.25">
      <c r="C17" s="139"/>
      <c r="D17" s="140"/>
      <c r="E17" s="140" t="str">
        <f>'EBM00256'!C12</f>
        <v>Rändelschraube TL / OV verzinkt 4x8mm</v>
      </c>
      <c r="F17" s="140"/>
      <c r="G17" s="140"/>
      <c r="H17" s="140"/>
      <c r="I17" s="140"/>
      <c r="J17" s="115"/>
      <c r="K17" s="115"/>
      <c r="L17" s="141" t="str">
        <f>IF(INDEX('EBM00256'!B:B,MATCH(E17,'EBM00256'!C:C,0))=0,"",INDEX('EBM00256'!B:B,MATCH(E17,'EBM00256'!C:C,0)))</f>
        <v>7000102M-1</v>
      </c>
      <c r="M17" s="147"/>
      <c r="N17" s="141">
        <f>VLOOKUP(L17,'EBM00256'!B:F,3,FALSE)</f>
        <v>4</v>
      </c>
      <c r="O17" s="144" t="str">
        <f>IFERROR(VLOOKUP(L17,#REF!,4,FALSE),"")</f>
        <v/>
      </c>
      <c r="P17" s="372">
        <f>IFERROR(VLOOKUP(L17,'EBM00256'!$B:$F,4,),)</f>
        <v>0.39382716049382716</v>
      </c>
      <c r="Q17" s="140"/>
      <c r="R17" s="31"/>
      <c r="S17" s="32"/>
      <c r="U17" s="84">
        <f t="shared" si="0"/>
        <v>1.5753086419753086</v>
      </c>
      <c r="V17" s="144"/>
      <c r="X17" s="136"/>
    </row>
    <row r="18" spans="3:24" s="131" customFormat="1" x14ac:dyDescent="0.25">
      <c r="C18" s="139"/>
      <c r="D18" s="140"/>
      <c r="E18" s="140" t="str">
        <f>'EBM00256'!C13</f>
        <v>USB A-Buchsen-Verschluss-Kappe mit Griff, weiß</v>
      </c>
      <c r="F18" s="140"/>
      <c r="G18" s="140"/>
      <c r="H18" s="140"/>
      <c r="I18" s="140"/>
      <c r="J18" s="115"/>
      <c r="K18" s="115"/>
      <c r="L18" s="141" t="str">
        <f>IF(INDEX('EBM00256'!B:B,MATCH(E18,'EBM00256'!C:C,0))=0,"",INDEX('EBM00256'!B:B,MATCH(E18,'EBM00256'!C:C,0)))</f>
        <v>7000101M-1</v>
      </c>
      <c r="M18" s="147"/>
      <c r="N18" s="141">
        <f>IF(E100="Nein",0,VLOOKUP(L18,'EBM00256'!B:F,3,FALSE))</f>
        <v>1</v>
      </c>
      <c r="O18" s="144" t="str">
        <f>IFERROR(VLOOKUP(L18,#REF!,4,FALSE),"")</f>
        <v/>
      </c>
      <c r="P18" s="372">
        <f>IFERROR(VLOOKUP(L18,'EBM00256'!$B:$F,4,),)</f>
        <v>0.3145679012345679</v>
      </c>
      <c r="Q18" s="140"/>
      <c r="R18" s="31"/>
      <c r="S18" s="32"/>
      <c r="U18" s="84">
        <f t="shared" si="0"/>
        <v>0.3145679012345679</v>
      </c>
      <c r="V18" s="144"/>
      <c r="X18" s="136"/>
    </row>
    <row r="19" spans="3:24" s="131" customFormat="1" x14ac:dyDescent="0.25">
      <c r="C19" s="139"/>
      <c r="D19" s="140"/>
      <c r="E19" s="140" t="str">
        <f>'EBM00256'!C14</f>
        <v>Kabelbinder Schwarz 2.6x135mm</v>
      </c>
      <c r="F19" s="140"/>
      <c r="G19" s="140"/>
      <c r="H19" s="140"/>
      <c r="I19" s="140"/>
      <c r="J19" s="115"/>
      <c r="K19" s="115"/>
      <c r="L19" s="141" t="str">
        <f>IF(INDEX('EBM00256'!B:B,MATCH(E19,'EBM00256'!C:C,0))=0,"",INDEX('EBM00256'!B:B,MATCH(E19,'EBM00256'!C:C,0)))</f>
        <v>7000007M</v>
      </c>
      <c r="M19" s="147"/>
      <c r="N19" s="141">
        <f>IF(E63='EBM00256'!C116,VLOOKUP(L19,'EBM00256'!B:F,3,FALSE)+1,VLOOKUP(L19,'EBM00256'!B:F,3,FALSE))</f>
        <v>3</v>
      </c>
      <c r="O19" s="144" t="str">
        <f>IFERROR(VLOOKUP(L19,#REF!,4,FALSE),"")</f>
        <v/>
      </c>
      <c r="P19" s="372">
        <f>IFERROR(VLOOKUP(L19,'EBM00256'!$B:$F,4,),)</f>
        <v>2.4691358024691357E-2</v>
      </c>
      <c r="Q19" s="140"/>
      <c r="R19" s="31"/>
      <c r="S19" s="32"/>
      <c r="U19" s="84">
        <f t="shared" si="0"/>
        <v>7.407407407407407E-2</v>
      </c>
      <c r="V19" s="144"/>
      <c r="X19" s="136"/>
    </row>
    <row r="20" spans="3:24" s="131" customFormat="1" x14ac:dyDescent="0.25">
      <c r="C20" s="139"/>
      <c r="D20" s="140"/>
      <c r="E20" s="140" t="str">
        <f>'EBM00256'!C15</f>
        <v>M3x6 Linsenkopfschraube Torx - T10</v>
      </c>
      <c r="F20" s="140"/>
      <c r="G20" s="140"/>
      <c r="H20" s="140"/>
      <c r="I20" s="140"/>
      <c r="J20" s="115"/>
      <c r="K20" s="115"/>
      <c r="L20" s="141" t="str">
        <f>IF(INDEX('EBM00256'!B:B,MATCH(E20,'EBM00256'!C:C,0))=0,"",INDEX('EBM00256'!B:B,MATCH(E20,'EBM00256'!C:C,0)))</f>
        <v>7000108M</v>
      </c>
      <c r="M20" s="147"/>
      <c r="N20" s="141">
        <f>VLOOKUP(L20,'EBM00256'!B:F,3,FALSE)</f>
        <v>14</v>
      </c>
      <c r="O20" s="144" t="str">
        <f>IFERROR(VLOOKUP(L20,#REF!,4,FALSE),"")</f>
        <v/>
      </c>
      <c r="P20" s="372">
        <f>IFERROR(VLOOKUP(L20,'EBM00256'!$B:$F,4,),)</f>
        <v>0</v>
      </c>
      <c r="Q20" s="140"/>
      <c r="R20" s="31"/>
      <c r="S20" s="32"/>
      <c r="U20" s="84">
        <f t="shared" si="0"/>
        <v>0</v>
      </c>
      <c r="V20" s="144"/>
      <c r="X20" s="136"/>
    </row>
    <row r="21" spans="3:24" s="131" customFormat="1" x14ac:dyDescent="0.25">
      <c r="C21" s="139"/>
      <c r="D21" s="140"/>
      <c r="E21" s="140" t="str">
        <f>'EBM00256'!C16</f>
        <v>Gehäuse AC1+2 Senkkopfschraube schw. Verz. M3x10</v>
      </c>
      <c r="F21" s="140"/>
      <c r="G21" s="140"/>
      <c r="H21" s="140"/>
      <c r="I21" s="140"/>
      <c r="J21" s="115"/>
      <c r="K21" s="115"/>
      <c r="L21" s="141">
        <f>IF(INDEX('EBM00256'!B:B,MATCH(E21,'EBM00256'!C:C,0))=0,"",INDEX('EBM00256'!B:B,MATCH(E21,'EBM00256'!C:C,0)))</f>
        <v>9824535</v>
      </c>
      <c r="M21" s="147"/>
      <c r="N21" s="141">
        <f>VLOOKUP(L21,'EBM00256'!B:F,3,FALSE)</f>
        <v>2</v>
      </c>
      <c r="O21" s="144" t="str">
        <f>IFERROR(VLOOKUP(L21,#REF!,4,FALSE),"")</f>
        <v/>
      </c>
      <c r="P21" s="372">
        <f>IFERROR(VLOOKUP(L21,'EBM00256'!$B:$F,4,),)</f>
        <v>1.2345679012345678E-2</v>
      </c>
      <c r="Q21" s="140"/>
      <c r="R21" s="31"/>
      <c r="S21" s="32"/>
      <c r="U21" s="84">
        <f t="shared" si="0"/>
        <v>2.4691358024691357E-2</v>
      </c>
      <c r="V21" s="144"/>
      <c r="X21" s="136"/>
    </row>
    <row r="22" spans="3:24" s="131" customFormat="1" x14ac:dyDescent="0.25">
      <c r="C22" s="139"/>
      <c r="D22" s="140"/>
      <c r="E22" s="140" t="str">
        <f>'EBM00256'!C17</f>
        <v>M6x30 Sechskantschraube V2A</v>
      </c>
      <c r="F22" s="140"/>
      <c r="G22" s="140"/>
      <c r="H22" s="140"/>
      <c r="I22" s="140"/>
      <c r="J22" s="115"/>
      <c r="K22" s="115"/>
      <c r="L22" s="141" t="str">
        <f>IF(INDEX('EBM00256'!B:B,MATCH(E22,'EBM00256'!C:C,0))=0,"",INDEX('EBM00256'!B:B,MATCH(E22,'EBM00256'!C:C,0)))</f>
        <v>7000111M</v>
      </c>
      <c r="M22" s="147"/>
      <c r="N22" s="141">
        <f>VLOOKUP(L22,'EBM00256'!B:F,3,FALSE)</f>
        <v>1</v>
      </c>
      <c r="O22" s="144" t="str">
        <f>IFERROR(VLOOKUP(L22,#REF!,4,FALSE),"")</f>
        <v/>
      </c>
      <c r="P22" s="372">
        <f>IFERROR(VLOOKUP(L22,'EBM00256'!$B:$F,4,),)</f>
        <v>0</v>
      </c>
      <c r="Q22" s="140"/>
      <c r="R22" s="31"/>
      <c r="S22" s="32"/>
      <c r="U22" s="84">
        <f t="shared" si="0"/>
        <v>0</v>
      </c>
      <c r="V22" s="144"/>
      <c r="X22" s="136"/>
    </row>
    <row r="23" spans="3:24" s="131" customFormat="1" x14ac:dyDescent="0.25">
      <c r="C23" s="139"/>
      <c r="D23" s="140"/>
      <c r="E23" s="140" t="str">
        <f>'EBM00256'!C18</f>
        <v>M6 Sechskantmutter V2A</v>
      </c>
      <c r="F23" s="140"/>
      <c r="G23" s="140"/>
      <c r="H23" s="140"/>
      <c r="I23" s="140"/>
      <c r="J23" s="115"/>
      <c r="K23" s="115"/>
      <c r="L23" s="141" t="str">
        <f>IF(INDEX('EBM00256'!B:B,MATCH(E23,'EBM00256'!C:C,0))=0,"",INDEX('EBM00256'!B:B,MATCH(E23,'EBM00256'!C:C,0)))</f>
        <v>7000110M</v>
      </c>
      <c r="M23" s="147"/>
      <c r="N23" s="141">
        <f>VLOOKUP(L23,'EBM00256'!B:F,3,FALSE)</f>
        <v>1</v>
      </c>
      <c r="O23" s="144" t="str">
        <f>IFERROR(VLOOKUP(L23,#REF!,4,FALSE),"")</f>
        <v/>
      </c>
      <c r="P23" s="372">
        <f>IFERROR(VLOOKUP(L23,'EBM00256'!$B:$F,4,),)</f>
        <v>0</v>
      </c>
      <c r="Q23" s="140"/>
      <c r="R23" s="31"/>
      <c r="S23" s="32"/>
      <c r="U23" s="84">
        <f t="shared" si="0"/>
        <v>0</v>
      </c>
      <c r="V23" s="144"/>
      <c r="X23" s="136"/>
    </row>
    <row r="24" spans="3:24" s="131" customFormat="1" x14ac:dyDescent="0.25">
      <c r="C24" s="139"/>
      <c r="D24" s="140"/>
      <c r="E24" s="140" t="str">
        <f>'EBM00256'!C19</f>
        <v>6,4mm Zahnscheibe V2A</v>
      </c>
      <c r="F24" s="140"/>
      <c r="G24" s="140"/>
      <c r="H24" s="140"/>
      <c r="I24" s="140"/>
      <c r="J24" s="115"/>
      <c r="K24" s="115"/>
      <c r="L24" s="141" t="str">
        <f>IF(INDEX('EBM00256'!B:B,MATCH(E24,'EBM00256'!C:C,0))=0,"",INDEX('EBM00256'!B:B,MATCH(E24,'EBM00256'!C:C,0)))</f>
        <v>7000109M</v>
      </c>
      <c r="M24" s="147"/>
      <c r="N24" s="141">
        <f>VLOOKUP(L24,'EBM00256'!B:F,3,FALSE)</f>
        <v>4</v>
      </c>
      <c r="O24" s="144" t="str">
        <f>IFERROR(VLOOKUP(L24,#REF!,4,FALSE),"")</f>
        <v/>
      </c>
      <c r="P24" s="372">
        <f>IFERROR(VLOOKUP(L24,'EBM00256'!$B:$F,4,),)</f>
        <v>0</v>
      </c>
      <c r="Q24" s="140"/>
      <c r="R24" s="31"/>
      <c r="S24" s="32"/>
      <c r="U24" s="84">
        <f t="shared" si="0"/>
        <v>0</v>
      </c>
      <c r="V24" s="144"/>
      <c r="X24" s="136"/>
    </row>
    <row r="25" spans="3:24" s="131" customFormat="1" x14ac:dyDescent="0.25">
      <c r="C25" s="139"/>
      <c r="D25" s="140"/>
      <c r="E25" s="140" t="str">
        <f>'EBM00256'!C20</f>
        <v>M3x12 Zylinderschraube verzinkt</v>
      </c>
      <c r="F25" s="140"/>
      <c r="G25" s="140"/>
      <c r="H25" s="140"/>
      <c r="I25" s="140"/>
      <c r="J25" s="115"/>
      <c r="K25" s="115"/>
      <c r="L25" s="141" t="str">
        <f>IF(INDEX('EBM00256'!B:B,MATCH(E25,'EBM00256'!C:C,0))=0,"",INDEX('EBM00256'!B:B,MATCH(E25,'EBM00256'!C:C,0)))</f>
        <v>7000117M-1</v>
      </c>
      <c r="M25" s="147"/>
      <c r="N25" s="141">
        <f>VLOOKUP(L25,'EBM00256'!B:F,3,FALSE)</f>
        <v>7</v>
      </c>
      <c r="O25" s="144" t="str">
        <f>IFERROR(VLOOKUP(L25,#REF!,4,FALSE),"")</f>
        <v/>
      </c>
      <c r="P25" s="372">
        <f>IFERROR(VLOOKUP(L25,'EBM00256'!$B:$F,4,),)</f>
        <v>0</v>
      </c>
      <c r="Q25" s="140"/>
      <c r="R25" s="31"/>
      <c r="S25" s="32"/>
      <c r="U25" s="84">
        <f t="shared" si="0"/>
        <v>0</v>
      </c>
      <c r="V25" s="144"/>
      <c r="X25" s="136"/>
    </row>
    <row r="26" spans="3:24" s="131" customFormat="1" x14ac:dyDescent="0.25">
      <c r="C26" s="139"/>
      <c r="D26" s="140"/>
      <c r="E26" s="140" t="str">
        <f>'EBM00256'!C21</f>
        <v>M2.5x4 Linsenkopfschraube Kreuz verzinkt</v>
      </c>
      <c r="F26" s="140"/>
      <c r="G26" s="140"/>
      <c r="H26" s="140"/>
      <c r="I26" s="140"/>
      <c r="J26" s="115"/>
      <c r="K26" s="115"/>
      <c r="L26" s="141" t="str">
        <f>IF(INDEX('EBM00256'!B:B,MATCH(E26,'EBM00256'!C:C,0))=0,"",INDEX('EBM00256'!B:B,MATCH(E26,'EBM00256'!C:C,0)))</f>
        <v>7000107M</v>
      </c>
      <c r="M26" s="147"/>
      <c r="N26" s="141">
        <f>VLOOKUP(L26,'EBM00256'!B:F,3,FALSE)</f>
        <v>4</v>
      </c>
      <c r="O26" s="144" t="str">
        <f>IFERROR(VLOOKUP(L26,#REF!,4,FALSE),"")</f>
        <v/>
      </c>
      <c r="P26" s="372">
        <f>IFERROR(VLOOKUP(L26,'EBM00256'!$B:$F,4,),)</f>
        <v>0</v>
      </c>
      <c r="Q26" s="140"/>
      <c r="R26" s="31"/>
      <c r="S26" s="32"/>
      <c r="U26" s="84">
        <f t="shared" si="0"/>
        <v>0</v>
      </c>
      <c r="V26" s="144"/>
      <c r="X26" s="136"/>
    </row>
    <row r="27" spans="3:24" s="131" customFormat="1" x14ac:dyDescent="0.25">
      <c r="C27" s="139"/>
      <c r="D27" s="140"/>
      <c r="E27" s="140" t="str">
        <f>'EBM00256'!C22</f>
        <v>2,7mm Unterlegscheibe verzinkt</v>
      </c>
      <c r="F27" s="140"/>
      <c r="G27" s="140"/>
      <c r="H27" s="140"/>
      <c r="I27" s="140"/>
      <c r="J27" s="115"/>
      <c r="K27" s="115"/>
      <c r="L27" s="141" t="str">
        <f>IF(INDEX('EBM00256'!B:B,MATCH(E27,'EBM00256'!C:C,0))=0,"",INDEX('EBM00256'!B:B,MATCH(E27,'EBM00256'!C:C,0)))</f>
        <v>7000115M</v>
      </c>
      <c r="M27" s="147"/>
      <c r="N27" s="141">
        <f>VLOOKUP(L27,'EBM00256'!B:F,3,FALSE)</f>
        <v>4</v>
      </c>
      <c r="O27" s="144" t="str">
        <f>IFERROR(VLOOKUP(L27,#REF!,4,FALSE),"")</f>
        <v/>
      </c>
      <c r="P27" s="372">
        <f>IFERROR(VLOOKUP(L27,'EBM00256'!$B:$F,4,),)</f>
        <v>0</v>
      </c>
      <c r="Q27" s="140"/>
      <c r="R27" s="31"/>
      <c r="S27" s="32"/>
      <c r="U27" s="84">
        <f t="shared" si="0"/>
        <v>0</v>
      </c>
      <c r="V27" s="144"/>
      <c r="X27" s="136"/>
    </row>
    <row r="28" spans="3:24" s="131" customFormat="1" x14ac:dyDescent="0.25">
      <c r="C28" s="139"/>
      <c r="D28" s="140"/>
      <c r="E28" s="140" t="str">
        <f>'EBM00256'!C23</f>
        <v>2,5mm Isolier-Distanzhülsen schwarz</v>
      </c>
      <c r="F28" s="140"/>
      <c r="G28" s="140"/>
      <c r="H28" s="140"/>
      <c r="I28" s="140"/>
      <c r="J28" s="115"/>
      <c r="K28" s="115"/>
      <c r="L28" s="141" t="str">
        <f>IF(INDEX('EBM00256'!B:B,MATCH(E28,'EBM00256'!C:C,0))=0,"",INDEX('EBM00256'!B:B,MATCH(E28,'EBM00256'!C:C,0)))</f>
        <v>7000114M</v>
      </c>
      <c r="M28" s="147"/>
      <c r="N28" s="141">
        <f>VLOOKUP(L28,'EBM00256'!B:F,3,FALSE)</f>
        <v>4</v>
      </c>
      <c r="O28" s="144" t="str">
        <f>IFERROR(VLOOKUP(L28,#REF!,4,FALSE),"")</f>
        <v/>
      </c>
      <c r="P28" s="372">
        <f>IFERROR(VLOOKUP(L28,'EBM00256'!$B:$F,4,),)</f>
        <v>0</v>
      </c>
      <c r="Q28" s="140"/>
      <c r="R28" s="31"/>
      <c r="S28" s="32"/>
      <c r="U28" s="84">
        <f t="shared" si="0"/>
        <v>0</v>
      </c>
      <c r="V28" s="144"/>
      <c r="X28" s="136"/>
    </row>
    <row r="29" spans="3:24" s="131" customFormat="1" x14ac:dyDescent="0.25">
      <c r="C29" s="139"/>
      <c r="D29" s="140"/>
      <c r="E29" s="140" t="str">
        <f>'EBM00256'!C24</f>
        <v>M4x10 Zylinderschraube Innensechskant</v>
      </c>
      <c r="F29" s="140"/>
      <c r="G29" s="140"/>
      <c r="H29" s="140"/>
      <c r="I29" s="140"/>
      <c r="J29" s="115"/>
      <c r="K29" s="115"/>
      <c r="L29" s="141" t="str">
        <f>IF(INDEX('EBM00256'!B:B,MATCH(E29,'EBM00256'!C:C,0))=0,"",INDEX('EBM00256'!B:B,MATCH(E29,'EBM00256'!C:C,0)))</f>
        <v>7000106M</v>
      </c>
      <c r="M29" s="147"/>
      <c r="N29" s="141">
        <f>VLOOKUP(L29,'EBM00256'!B:F,3,FALSE)</f>
        <v>3</v>
      </c>
      <c r="O29" s="144" t="str">
        <f>IFERROR(VLOOKUP(L29,#REF!,4,FALSE),"")</f>
        <v/>
      </c>
      <c r="P29" s="372">
        <f>IFERROR(VLOOKUP(L29,'EBM00256'!$B:$F,4,),)</f>
        <v>0</v>
      </c>
      <c r="Q29" s="140"/>
      <c r="R29" s="31"/>
      <c r="S29" s="32"/>
      <c r="U29" s="84">
        <f t="shared" si="0"/>
        <v>0</v>
      </c>
      <c r="V29" s="144"/>
      <c r="X29" s="136"/>
    </row>
    <row r="30" spans="3:24" s="131" customFormat="1" x14ac:dyDescent="0.25">
      <c r="C30" s="139"/>
      <c r="D30" s="140"/>
      <c r="E30" s="140" t="str">
        <f>'EBM00256'!C26</f>
        <v>Handbuch MCD Medical Line THA.leia³ DE/EN</v>
      </c>
      <c r="F30" s="140"/>
      <c r="G30" s="140"/>
      <c r="H30" s="140"/>
      <c r="I30" s="140"/>
      <c r="J30" s="115"/>
      <c r="K30" s="115"/>
      <c r="L30" s="141" t="str">
        <f>IF(INDEX('EBM00256'!B:B,MATCH(E30,'EBM00256'!C:C,0))=0,"",INDEX('EBM00256'!B:B,MATCH(E30,'EBM00256'!C:C,0)))</f>
        <v>6500066M_B</v>
      </c>
      <c r="M30" s="147"/>
      <c r="N30" s="141">
        <f>VLOOKUP(L30,'EBM00256'!B:F,3,FALSE)</f>
        <v>1</v>
      </c>
      <c r="O30" s="144" t="str">
        <f>IFERROR(VLOOKUP(L30,#REF!,4,FALSE),"")</f>
        <v/>
      </c>
      <c r="P30" s="372">
        <f>IFERROR(VLOOKUP(L30,'EBM00256'!$B:$F,4,),)</f>
        <v>1.9749012345679011</v>
      </c>
      <c r="Q30" s="140"/>
      <c r="R30" s="31"/>
      <c r="S30" s="32"/>
      <c r="U30" s="84">
        <f t="shared" si="0"/>
        <v>1.9749012345679011</v>
      </c>
      <c r="V30" s="144"/>
      <c r="X30" s="136"/>
    </row>
    <row r="31" spans="3:24" s="131" customFormat="1" x14ac:dyDescent="0.25">
      <c r="C31" s="139"/>
      <c r="D31" s="140"/>
      <c r="E31" s="140" t="str">
        <f>'EBM00256'!C27</f>
        <v>Baukosten</v>
      </c>
      <c r="F31" s="115"/>
      <c r="G31" s="115"/>
      <c r="H31" s="115"/>
      <c r="I31" s="115"/>
      <c r="J31" s="115"/>
      <c r="K31" s="115"/>
      <c r="L31" s="141" t="str">
        <f>IF(INDEX('EBM00256'!B:B,MATCH(E31,'EBM00256'!C:C,0))=0,"",INDEX('EBM00256'!B:B,MATCH(E31,'EBM00256'!C:C,0)))</f>
        <v>8110070M</v>
      </c>
      <c r="M31" s="147"/>
      <c r="N31" s="141">
        <f>VLOOKUP(L31,'EBM00256'!B:F,3,FALSE)</f>
        <v>1</v>
      </c>
      <c r="O31" s="144"/>
      <c r="P31" s="372">
        <f>IFERROR(VLOOKUP(L31,'EBM00256'!$B:$F,4,),)</f>
        <v>86.419753086419746</v>
      </c>
      <c r="Q31" s="140"/>
      <c r="R31" s="31"/>
      <c r="S31" s="32"/>
      <c r="U31" s="84">
        <f t="shared" si="0"/>
        <v>86.419753086419746</v>
      </c>
      <c r="V31" s="144"/>
      <c r="X31" s="136"/>
    </row>
    <row r="32" spans="3:24" s="131" customFormat="1" ht="5.25" customHeight="1" x14ac:dyDescent="0.25">
      <c r="C32" s="145"/>
      <c r="L32" s="173"/>
      <c r="M32" s="144"/>
      <c r="N32" s="141"/>
      <c r="O32" s="144"/>
      <c r="P32" s="371"/>
      <c r="U32" s="84">
        <f t="shared" si="0"/>
        <v>0</v>
      </c>
      <c r="V32" s="144"/>
      <c r="X32" s="136"/>
    </row>
    <row r="33" spans="2:24" s="131" customFormat="1" x14ac:dyDescent="0.25">
      <c r="B33" s="135" t="s">
        <v>570</v>
      </c>
      <c r="C33" s="145"/>
      <c r="E33" s="115"/>
      <c r="F33" s="115"/>
      <c r="G33" s="115"/>
      <c r="H33" s="115"/>
      <c r="I33" s="115"/>
      <c r="J33" s="172"/>
      <c r="K33" s="175"/>
      <c r="L33" s="173"/>
      <c r="M33" s="147"/>
      <c r="N33" s="141"/>
      <c r="O33" s="144"/>
      <c r="P33" s="371"/>
      <c r="R33" s="134"/>
      <c r="S33" s="7"/>
      <c r="U33" s="84">
        <f t="shared" si="0"/>
        <v>0</v>
      </c>
      <c r="V33" s="144"/>
      <c r="X33" s="136"/>
    </row>
    <row r="34" spans="2:24" s="131" customFormat="1" ht="5.25" customHeight="1" x14ac:dyDescent="0.25">
      <c r="C34" s="145"/>
      <c r="L34" s="173"/>
      <c r="M34" s="144"/>
      <c r="N34" s="141"/>
      <c r="O34" s="144"/>
      <c r="P34" s="371"/>
      <c r="U34" s="84">
        <f t="shared" si="0"/>
        <v>0</v>
      </c>
      <c r="V34" s="144"/>
      <c r="X34" s="136"/>
    </row>
    <row r="35" spans="2:24" s="131" customFormat="1" x14ac:dyDescent="0.25">
      <c r="C35" s="145" t="s">
        <v>529</v>
      </c>
      <c r="E35" s="396" t="s">
        <v>45</v>
      </c>
      <c r="F35" s="397"/>
      <c r="G35" s="397"/>
      <c r="H35" s="397"/>
      <c r="I35" s="398"/>
      <c r="L35" s="141" t="str">
        <f>IF(INDEX('EBM00256'!B:B,MATCH(E35,'EBM00256'!C:C,0))=0,"",INDEX('EBM00256'!B:B,MATCH(E35,'EBM00256'!C:C,0)))</f>
        <v>2990005M_B</v>
      </c>
      <c r="M35" s="144"/>
      <c r="N35" s="141">
        <f>VLOOKUP(L35,'EBM00256'!B:F,3,FALSE)</f>
        <v>1</v>
      </c>
      <c r="O35" s="144" t="str">
        <f>IFERROR(VLOOKUP(L35,#REF!,4,FALSE),"")</f>
        <v/>
      </c>
      <c r="P35" s="372">
        <f>IFERROR(VLOOKUP(L35,'EBM00256'!$B:$F,4,),)</f>
        <v>1008.5308641975307</v>
      </c>
      <c r="U35" s="84">
        <f t="shared" si="0"/>
        <v>1008.5308641975307</v>
      </c>
      <c r="V35" s="144"/>
      <c r="X35" s="136"/>
    </row>
    <row r="36" spans="2:24" s="131" customFormat="1" x14ac:dyDescent="0.25">
      <c r="B36" s="399" t="s">
        <v>704</v>
      </c>
      <c r="C36" s="400"/>
      <c r="D36" s="400"/>
      <c r="E36" s="400"/>
      <c r="F36" s="400"/>
      <c r="G36" s="400"/>
      <c r="H36" s="400"/>
      <c r="I36" s="400"/>
      <c r="J36" s="400"/>
      <c r="K36" s="400"/>
      <c r="L36" s="400"/>
      <c r="M36" s="400"/>
      <c r="N36" s="400"/>
      <c r="O36" s="400"/>
      <c r="P36" s="400"/>
      <c r="Q36" s="400"/>
      <c r="R36" s="400"/>
      <c r="S36" s="400"/>
      <c r="T36" s="400"/>
      <c r="U36" s="84">
        <f t="shared" si="0"/>
        <v>0</v>
      </c>
      <c r="V36" s="144"/>
      <c r="X36" s="136"/>
    </row>
    <row r="37" spans="2:24" s="131" customFormat="1" x14ac:dyDescent="0.25">
      <c r="C37" s="145" t="s">
        <v>530</v>
      </c>
      <c r="E37" s="396" t="s">
        <v>11</v>
      </c>
      <c r="F37" s="397"/>
      <c r="G37" s="397"/>
      <c r="H37" s="397"/>
      <c r="I37" s="398"/>
      <c r="J37" s="172"/>
      <c r="K37" s="175"/>
      <c r="L37" s="173"/>
      <c r="M37" s="147"/>
      <c r="N37" s="141"/>
      <c r="O37" s="144"/>
      <c r="P37" s="371"/>
      <c r="R37" s="134"/>
      <c r="S37" s="7"/>
      <c r="U37" s="84">
        <f t="shared" si="0"/>
        <v>0</v>
      </c>
      <c r="V37" s="144"/>
      <c r="X37" s="136"/>
    </row>
    <row r="38" spans="2:24" s="131" customFormat="1" ht="5.25" customHeight="1" x14ac:dyDescent="0.25">
      <c r="C38" s="145"/>
      <c r="L38" s="173"/>
      <c r="M38" s="144"/>
      <c r="N38" s="141"/>
      <c r="O38" s="144"/>
      <c r="P38" s="371"/>
      <c r="U38" s="84">
        <f t="shared" si="0"/>
        <v>0</v>
      </c>
      <c r="V38" s="144"/>
      <c r="X38" s="136"/>
    </row>
    <row r="39" spans="2:24" s="131" customFormat="1" x14ac:dyDescent="0.25">
      <c r="C39" s="145"/>
      <c r="E39" s="392" t="str">
        <f>IF($E$37="Internes Netzteil Panel-PCs",'EBM00256'!C56,IF($E$37="Externes Netzteil Panel-PCs",'EBM00256'!C61,""))</f>
        <v>Netzteil Open Frame Bicker BEO-2512M</v>
      </c>
      <c r="F39" s="392"/>
      <c r="G39" s="392"/>
      <c r="H39" s="392"/>
      <c r="I39" s="392"/>
      <c r="J39" s="172"/>
      <c r="K39" s="175"/>
      <c r="L39" s="173" t="str">
        <f>IFERROR(INDEX('EBM00256'!B:B,MATCH(E39,'EBM00256'!C:C,0)),"")</f>
        <v>6300057M-1</v>
      </c>
      <c r="M39" s="147"/>
      <c r="N39" s="141">
        <f>VLOOKUP(L39,'EBM00256'!B:F,3,FALSE)</f>
        <v>1</v>
      </c>
      <c r="O39" s="144" t="str">
        <f>IFERROR(VLOOKUP(L39,#REF!,4,FALSE),"")</f>
        <v/>
      </c>
      <c r="P39" s="371">
        <f>IFERROR(VLOOKUP(L39,'EBM00256'!$B:$F,4,),)</f>
        <v>82.308641975308632</v>
      </c>
      <c r="Q39" s="32"/>
      <c r="R39" s="31"/>
      <c r="S39" s="32"/>
      <c r="U39" s="84">
        <f t="shared" si="0"/>
        <v>82.308641975308632</v>
      </c>
      <c r="V39" s="144"/>
      <c r="X39" s="136"/>
    </row>
    <row r="40" spans="2:24" s="131" customFormat="1" x14ac:dyDescent="0.25">
      <c r="C40" s="145"/>
      <c r="E40" s="392" t="str">
        <f>IF($E$37="Internes Netzteil Panel-PCs",'EBM00256'!C57,IF($E$37="Externes Netzteil Panel-PCs",'EBM00256'!C62,""))</f>
        <v>Adapterkabel MCD TL Gen3 int. PSU 12V für D3243-S</v>
      </c>
      <c r="F40" s="392"/>
      <c r="G40" s="392"/>
      <c r="H40" s="392"/>
      <c r="I40" s="392"/>
      <c r="J40" s="172"/>
      <c r="K40" s="175"/>
      <c r="L40" s="173" t="str">
        <f>IFERROR(INDEX('EBM00256'!B:B,MATCH(E40,'EBM00256'!C:C,0)),"")</f>
        <v>7100153M-1</v>
      </c>
      <c r="M40" s="147"/>
      <c r="N40" s="141">
        <f>VLOOKUP(L40,'EBM00256'!B:F,3,FALSE)</f>
        <v>1</v>
      </c>
      <c r="O40" s="144" t="str">
        <f>IFERROR(VLOOKUP(L40,#REF!,4,FALSE),"")</f>
        <v/>
      </c>
      <c r="P40" s="371">
        <f>IFERROR(VLOOKUP(L40,'EBM00256'!$B:$F,4,),)</f>
        <v>2.0617283950617282</v>
      </c>
      <c r="Q40" s="32"/>
      <c r="R40" s="31"/>
      <c r="S40" s="32"/>
      <c r="U40" s="84">
        <f t="shared" si="0"/>
        <v>2.0617283950617282</v>
      </c>
      <c r="V40" s="144"/>
      <c r="X40" s="136"/>
    </row>
    <row r="41" spans="2:24" s="131" customFormat="1" x14ac:dyDescent="0.25">
      <c r="C41" s="145"/>
      <c r="E41" s="392" t="str">
        <f>IF($E$37="Internes Netzteil Panel-PCs",'EBM00256'!C58,IF($E$37="Externes Netzteil Panel-PCs",'EBM00256'!C63,""))</f>
        <v>Kabel Kaltgerätestecker EU rechts abgewinkelt 1.8m</v>
      </c>
      <c r="F41" s="392"/>
      <c r="G41" s="392"/>
      <c r="H41" s="392"/>
      <c r="I41" s="392"/>
      <c r="J41" s="172"/>
      <c r="K41" s="175"/>
      <c r="L41" s="173" t="str">
        <f>IFERROR(INDEX('EBM00256'!B:B,MATCH(E41,'EBM00256'!C:C,0)),"")</f>
        <v>3809266-1</v>
      </c>
      <c r="M41" s="147"/>
      <c r="N41" s="141">
        <f>VLOOKUP(L41,'EBM00256'!B:F,3,FALSE)</f>
        <v>1</v>
      </c>
      <c r="O41" s="144" t="str">
        <f>IFERROR(VLOOKUP(L41,#REF!,4,FALSE),"")</f>
        <v/>
      </c>
      <c r="P41" s="371">
        <f>IFERROR(VLOOKUP(L41,'EBM00256'!$B:$F,4,),)</f>
        <v>4.8745679012345677</v>
      </c>
      <c r="Q41" s="32"/>
      <c r="R41" s="31"/>
      <c r="S41" s="32"/>
      <c r="U41" s="84">
        <f t="shared" si="0"/>
        <v>4.8745679012345677</v>
      </c>
      <c r="V41" s="144"/>
      <c r="X41" s="136"/>
    </row>
    <row r="42" spans="2:24" s="131" customFormat="1" x14ac:dyDescent="0.25">
      <c r="C42" s="145"/>
      <c r="E42" s="392" t="str">
        <f>IF($E$37="Internes Netzteil Panel-PCs",'EBM00256'!C59,IF($E$37="Externes Netzteil Panel-PCs",'EBM00256'!C64,""))</f>
        <v>IEC-Buchse MCD TL³ int. PSU inkl. Erdungskabel</v>
      </c>
      <c r="F42" s="392"/>
      <c r="G42" s="392"/>
      <c r="H42" s="392"/>
      <c r="I42" s="392"/>
      <c r="J42" s="172"/>
      <c r="K42" s="175"/>
      <c r="L42" s="173" t="str">
        <f>IFERROR(INDEX('EBM00256'!B:B,MATCH(E42,'EBM00256'!C:C,0)),"")</f>
        <v>7100163M-1</v>
      </c>
      <c r="M42" s="147"/>
      <c r="N42" s="141">
        <f>VLOOKUP(L42,'EBM00256'!B:F,3,FALSE)</f>
        <v>1</v>
      </c>
      <c r="O42" s="144" t="str">
        <f>IFERROR(VLOOKUP(L42,#REF!,4,FALSE),"")</f>
        <v/>
      </c>
      <c r="P42" s="371">
        <f>IFERROR(VLOOKUP(L42,'EBM00256'!$B:$F,4,),)</f>
        <v>4.9375308641975302</v>
      </c>
      <c r="Q42" s="32"/>
      <c r="R42" s="31"/>
      <c r="S42" s="32"/>
      <c r="U42" s="84">
        <f t="shared" ref="U42:U73" si="1">N42*P42</f>
        <v>4.9375308641975302</v>
      </c>
      <c r="V42" s="144"/>
      <c r="X42" s="136"/>
    </row>
    <row r="43" spans="2:24" s="131" customFormat="1" x14ac:dyDescent="0.25">
      <c r="C43" s="145"/>
      <c r="E43" s="392" t="str">
        <f>IF($E$37="Internes Netzteil Panel-PCs","",IF($E$37="Externes Netzteil Panel-PCs",'EBM00256'!C65,""))</f>
        <v/>
      </c>
      <c r="F43" s="392"/>
      <c r="G43" s="392"/>
      <c r="H43" s="392"/>
      <c r="I43" s="392"/>
      <c r="J43" s="172"/>
      <c r="L43" s="173" t="str">
        <f>IFERROR(INDEX('EBM00256'!B:B,MATCH(E43,'EBM00256'!C:C,0)),"")</f>
        <v/>
      </c>
      <c r="M43" s="147"/>
      <c r="N43" s="141">
        <f>IF(L43="",0,VLOOKUP(L43,'EBM00256'!B:F,3,FALSE))</f>
        <v>0</v>
      </c>
      <c r="O43" s="144"/>
      <c r="P43" s="371">
        <f>IFERROR(VLOOKUP(L43,'EBM00256'!$B:$F,4,),)</f>
        <v>0</v>
      </c>
      <c r="Q43" s="32"/>
      <c r="R43" s="31"/>
      <c r="S43" s="32"/>
      <c r="U43" s="84">
        <f t="shared" si="1"/>
        <v>0</v>
      </c>
      <c r="V43" s="144"/>
      <c r="X43" s="136"/>
    </row>
    <row r="44" spans="2:24" s="131" customFormat="1" ht="5.25" customHeight="1" x14ac:dyDescent="0.25">
      <c r="C44" s="145"/>
      <c r="L44" s="173"/>
      <c r="M44" s="144"/>
      <c r="N44" s="141"/>
      <c r="O44" s="144"/>
      <c r="P44" s="371"/>
      <c r="U44" s="84">
        <f t="shared" si="1"/>
        <v>0</v>
      </c>
      <c r="V44" s="144"/>
      <c r="X44" s="136"/>
    </row>
    <row r="45" spans="2:24" s="131" customFormat="1" x14ac:dyDescent="0.25">
      <c r="C45" s="145" t="s">
        <v>44</v>
      </c>
      <c r="E45" s="387" t="s">
        <v>514</v>
      </c>
      <c r="F45" s="388"/>
      <c r="G45" s="388"/>
      <c r="H45" s="388"/>
      <c r="I45" s="389"/>
      <c r="J45" s="172"/>
      <c r="L45" s="173" t="str">
        <f>IFERROR(IF(INDEX('EBM00256'!B:B,MATCH(E45,'EBM00256'!C:C,0))=0,"",INDEX('EBM00256'!B:B,MATCH(E45,'EBM00256'!C:C,0))),"")</f>
        <v>3200026M</v>
      </c>
      <c r="M45" s="147"/>
      <c r="N45" s="141">
        <f>VLOOKUP(L45,'EBM00256'!B:F,3,FALSE)</f>
        <v>1</v>
      </c>
      <c r="O45" s="144" t="str">
        <f>IFERROR(VLOOKUP(L45,#REF!,4,FALSE),"")</f>
        <v/>
      </c>
      <c r="P45" s="371">
        <f>IFERROR(VLOOKUP(L45,'EBM00256'!$B:$F,4,),)</f>
        <v>61.728395061728392</v>
      </c>
      <c r="Q45" s="7"/>
      <c r="R45" s="134"/>
      <c r="S45" s="7"/>
      <c r="U45" s="84">
        <f t="shared" si="1"/>
        <v>61.728395061728392</v>
      </c>
      <c r="V45" s="144"/>
      <c r="X45" s="136"/>
    </row>
    <row r="46" spans="2:24" s="131" customFormat="1" ht="5.25" customHeight="1" x14ac:dyDescent="0.25">
      <c r="C46" s="145"/>
      <c r="L46" s="173"/>
      <c r="M46" s="144"/>
      <c r="N46" s="141"/>
      <c r="O46" s="144"/>
      <c r="P46" s="371"/>
      <c r="Q46" s="7"/>
      <c r="R46" s="9"/>
      <c r="S46" s="7"/>
      <c r="U46" s="84">
        <f t="shared" si="1"/>
        <v>0</v>
      </c>
      <c r="V46" s="144"/>
      <c r="X46" s="136"/>
    </row>
    <row r="47" spans="2:24" s="131" customFormat="1" x14ac:dyDescent="0.25">
      <c r="C47" s="145" t="s">
        <v>1</v>
      </c>
      <c r="E47" s="387" t="s">
        <v>484</v>
      </c>
      <c r="F47" s="388"/>
      <c r="G47" s="388"/>
      <c r="H47" s="388"/>
      <c r="I47" s="389"/>
      <c r="J47" s="172">
        <v>1</v>
      </c>
      <c r="L47" s="173" t="str">
        <f>IFERROR(IF(INDEX('EBM00256'!B:B,MATCH(E47,'EBM00256'!C:C,0))=0,"",INDEX('EBM00256'!B:B,MATCH(E47,'EBM00256'!C:C,0))),"")</f>
        <v>3300017M</v>
      </c>
      <c r="M47" s="147"/>
      <c r="N47" s="67">
        <v>1</v>
      </c>
      <c r="O47" s="144" t="str">
        <f>IFERROR(VLOOKUP(L47,#REF!,4,FALSE),"")</f>
        <v/>
      </c>
      <c r="P47" s="371">
        <f>IFERROR(VLOOKUP(L47,'EBM00256'!$B:$F,4,),)</f>
        <v>41.975308641975303</v>
      </c>
      <c r="Q47" s="7"/>
      <c r="R47" s="134"/>
      <c r="S47" s="7"/>
      <c r="U47" s="84">
        <f t="shared" si="1"/>
        <v>41.975308641975303</v>
      </c>
      <c r="V47" s="144"/>
      <c r="X47" s="136"/>
    </row>
    <row r="48" spans="2:24" s="131" customFormat="1" ht="5.25" customHeight="1" x14ac:dyDescent="0.25">
      <c r="C48" s="145"/>
      <c r="J48" s="131">
        <v>2</v>
      </c>
      <c r="L48" s="173"/>
      <c r="M48" s="144"/>
      <c r="N48" s="141"/>
      <c r="O48" s="144"/>
      <c r="P48" s="371"/>
      <c r="Q48" s="7"/>
      <c r="R48" s="9"/>
      <c r="S48" s="7"/>
      <c r="U48" s="84">
        <f t="shared" si="1"/>
        <v>0</v>
      </c>
      <c r="V48" s="144"/>
      <c r="X48" s="136"/>
    </row>
    <row r="49" spans="2:24" x14ac:dyDescent="0.25">
      <c r="B49" s="131"/>
      <c r="C49" s="145"/>
      <c r="D49" s="131"/>
      <c r="E49" s="392" t="str">
        <f>IF(ISNA(VLOOKUP(L49,A:B,2,FALSE)),"",VLOOKUP(L49,A:B,2,FALSE))</f>
        <v>Betriebssystem auf folgenden Datenträger:</v>
      </c>
      <c r="F49" s="392"/>
      <c r="G49" s="392"/>
      <c r="H49" s="392"/>
      <c r="I49" s="392"/>
      <c r="J49" s="131"/>
      <c r="K49" s="170" t="s">
        <v>693</v>
      </c>
      <c r="L49" s="174" t="str">
        <f>IF(K50="Ja","8120067M","")</f>
        <v>8120067M</v>
      </c>
      <c r="M49" s="144"/>
      <c r="N49" s="131"/>
      <c r="O49" s="144"/>
      <c r="P49" s="371"/>
      <c r="Q49" s="7"/>
      <c r="R49" s="9"/>
      <c r="S49" s="7"/>
      <c r="U49" s="84">
        <f t="shared" si="1"/>
        <v>0</v>
      </c>
    </row>
    <row r="50" spans="2:24" s="131" customFormat="1" ht="15" customHeight="1" x14ac:dyDescent="0.25">
      <c r="C50" s="151" t="s">
        <v>531</v>
      </c>
      <c r="E50" s="387" t="s">
        <v>563</v>
      </c>
      <c r="F50" s="388"/>
      <c r="G50" s="388"/>
      <c r="H50" s="388"/>
      <c r="I50" s="389"/>
      <c r="J50" s="180" t="str">
        <f>IF(K50="Nein","0","1")</f>
        <v>1</v>
      </c>
      <c r="K50" s="67" t="s">
        <v>256</v>
      </c>
      <c r="L50" s="173" t="str">
        <f>IFERROR(IF(INDEX('EBM00256'!B:B,MATCH(E50,'EBM00256'!C:C,0))=0,"",INDEX('EBM00256'!B:B,MATCH(E50,'EBM00256'!C:C,0))),"")</f>
        <v>3400044M</v>
      </c>
      <c r="M50" s="147"/>
      <c r="N50" s="141">
        <v>1</v>
      </c>
      <c r="O50" s="144" t="str">
        <f>IFERROR(VLOOKUP(L50,#REF!,4,FALSE),"")</f>
        <v/>
      </c>
      <c r="P50" s="371">
        <f>IFERROR(VLOOKUP(L50,'EBM00256'!$B:$F,4,),)</f>
        <v>72.716049382716037</v>
      </c>
      <c r="Q50" s="7"/>
      <c r="R50" s="134"/>
      <c r="S50" s="7"/>
      <c r="U50" s="84">
        <f t="shared" si="1"/>
        <v>72.716049382716037</v>
      </c>
      <c r="V50" s="144"/>
      <c r="X50" s="136"/>
    </row>
    <row r="51" spans="2:24" s="131" customFormat="1" ht="5.25" customHeight="1" x14ac:dyDescent="0.25">
      <c r="C51" s="145"/>
      <c r="L51" s="173"/>
      <c r="M51" s="144"/>
      <c r="N51" s="141"/>
      <c r="O51" s="144"/>
      <c r="P51" s="371"/>
      <c r="R51" s="9"/>
      <c r="U51" s="84">
        <f t="shared" si="1"/>
        <v>0</v>
      </c>
      <c r="V51" s="144"/>
      <c r="X51" s="136"/>
    </row>
    <row r="52" spans="2:24" x14ac:dyDescent="0.25">
      <c r="B52" s="131"/>
      <c r="C52" s="145"/>
      <c r="D52" s="131"/>
      <c r="E52" s="393" t="str">
        <f>IF(ISNA(VLOOKUP(L52,A:B,2,FALSE)),"",VLOOKUP(L52,A:B,2,FALSE))</f>
        <v/>
      </c>
      <c r="F52" s="393"/>
      <c r="G52" s="393"/>
      <c r="H52" s="393"/>
      <c r="I52" s="393"/>
      <c r="J52" s="131"/>
      <c r="L52" s="174" t="str">
        <f>IF(K53="Ja","8120067M","")</f>
        <v/>
      </c>
      <c r="M52" s="144"/>
      <c r="N52" s="131"/>
      <c r="O52" s="144"/>
      <c r="P52" s="371"/>
      <c r="Q52" s="7"/>
      <c r="R52" s="9"/>
      <c r="S52" s="7"/>
      <c r="U52" s="84">
        <f t="shared" si="1"/>
        <v>0</v>
      </c>
    </row>
    <row r="53" spans="2:24" s="131" customFormat="1" x14ac:dyDescent="0.25">
      <c r="C53" s="145" t="s">
        <v>532</v>
      </c>
      <c r="E53" s="387" t="s">
        <v>178</v>
      </c>
      <c r="F53" s="388"/>
      <c r="G53" s="388"/>
      <c r="H53" s="388"/>
      <c r="I53" s="389"/>
      <c r="J53" s="180" t="str">
        <f>IF(K53="Nein","0","1")</f>
        <v>0</v>
      </c>
      <c r="K53" s="67" t="s">
        <v>257</v>
      </c>
      <c r="L53" s="173" t="str">
        <f>IFERROR(IF(INDEX('EBM00256'!B:B,MATCH(E53,'EBM00256'!C:C,0))=0,"",INDEX('EBM00256'!B:B,MATCH(E53,'EBM00256'!C:C,0))),"")</f>
        <v>---</v>
      </c>
      <c r="M53" s="147"/>
      <c r="N53" s="141">
        <f>IF(E53&lt;&gt;"---",1,0)</f>
        <v>0</v>
      </c>
      <c r="O53" s="144" t="str">
        <f>IFERROR(VLOOKUP(L53,#REF!,4,FALSE),"")</f>
        <v/>
      </c>
      <c r="P53" s="371">
        <f>IFERROR(VLOOKUP(L53,[3]EBM00256!$B:$F,4,),)</f>
        <v>0</v>
      </c>
      <c r="Q53" s="7"/>
      <c r="R53" s="134"/>
      <c r="S53" s="7"/>
      <c r="U53" s="84">
        <f t="shared" si="1"/>
        <v>0</v>
      </c>
      <c r="V53" s="144"/>
      <c r="X53" s="136"/>
    </row>
    <row r="54" spans="2:24" s="131" customFormat="1" ht="4.5" customHeight="1" x14ac:dyDescent="0.25">
      <c r="C54" s="145"/>
      <c r="E54" s="172"/>
      <c r="F54" s="172"/>
      <c r="G54" s="172"/>
      <c r="H54" s="172"/>
      <c r="I54" s="172"/>
      <c r="J54" s="172"/>
      <c r="K54" s="175"/>
      <c r="L54" s="173"/>
      <c r="M54" s="147"/>
      <c r="N54" s="141"/>
      <c r="O54" s="144"/>
      <c r="P54" s="371"/>
      <c r="Q54" s="7"/>
      <c r="R54" s="134"/>
      <c r="S54" s="7"/>
      <c r="U54" s="84">
        <f t="shared" si="1"/>
        <v>0</v>
      </c>
      <c r="V54" s="144"/>
      <c r="X54" s="136"/>
    </row>
    <row r="55" spans="2:24" s="131" customFormat="1" x14ac:dyDescent="0.25">
      <c r="C55" s="145"/>
      <c r="E55" s="172" t="str">
        <f>'EBM00256'!C98</f>
        <v>M3x4 Linsenkopfschraube</v>
      </c>
      <c r="F55" s="172"/>
      <c r="G55" s="172"/>
      <c r="H55" s="172"/>
      <c r="I55" s="172"/>
      <c r="J55" s="172"/>
      <c r="K55" s="175"/>
      <c r="L55" s="173" t="str">
        <f>IFERROR(IF(INDEX('EBM00256'!B:B,MATCH(E55,'EBM00256'!C:C,0))=0,"",INDEX('EBM00256'!B:B,MATCH(E55,'EBM00256'!C:C,0))),"")</f>
        <v>7000112M</v>
      </c>
      <c r="M55" s="147"/>
      <c r="N55" s="119">
        <f>IF(OR(L50='EBM00256'!B95,L50='EBM00256'!B96),SUM(N53)*4,SUM(N50:N53)*4)</f>
        <v>4</v>
      </c>
      <c r="O55" s="144" t="str">
        <f>IFERROR(VLOOKUP(L55,#REF!,4,FALSE),"")</f>
        <v/>
      </c>
      <c r="P55" s="371">
        <f>IFERROR(VLOOKUP(L55,'EBM00256'!$B:$F,4,),)</f>
        <v>0</v>
      </c>
      <c r="Q55" s="7"/>
      <c r="R55" s="134"/>
      <c r="S55" s="7"/>
      <c r="U55" s="84">
        <f t="shared" si="1"/>
        <v>0</v>
      </c>
      <c r="V55" s="144"/>
      <c r="X55" s="136"/>
    </row>
    <row r="56" spans="2:24" s="131" customFormat="1" x14ac:dyDescent="0.25">
      <c r="C56" s="145"/>
      <c r="E56" s="172" t="str">
        <f>'EBM00256'!C99</f>
        <v>Kabel Y-Strom 5.25" nach 2x 5.25"</v>
      </c>
      <c r="F56" s="172"/>
      <c r="G56" s="172"/>
      <c r="H56" s="172"/>
      <c r="I56" s="172"/>
      <c r="J56" s="172"/>
      <c r="K56" s="175"/>
      <c r="L56" s="186" t="str">
        <f>IF(L53="---","",'EBM00256'!B99)</f>
        <v/>
      </c>
      <c r="M56" s="147"/>
      <c r="N56" s="141">
        <f>IF(OR(L51='EBM00256'!B95,L51='EBM00256'!B96,'EBM00256'!B97,E53="---"),0,1)</f>
        <v>0</v>
      </c>
      <c r="O56" s="144" t="str">
        <f>IFERROR(VLOOKUP(L56,#REF!,4,FALSE),"")</f>
        <v/>
      </c>
      <c r="P56" s="371">
        <f>IFERROR(VLOOKUP(L56,'EBM00256'!$B:$F,4,),)</f>
        <v>0</v>
      </c>
      <c r="Q56" s="7"/>
      <c r="R56" s="134"/>
      <c r="S56" s="7"/>
      <c r="U56" s="84">
        <f t="shared" si="1"/>
        <v>0</v>
      </c>
      <c r="V56" s="144"/>
      <c r="X56" s="136"/>
    </row>
    <row r="57" spans="2:24" s="131" customFormat="1" ht="8.25" customHeight="1" x14ac:dyDescent="0.25">
      <c r="C57" s="145"/>
      <c r="E57" s="172"/>
      <c r="F57" s="172"/>
      <c r="G57" s="172"/>
      <c r="H57" s="172"/>
      <c r="I57" s="172"/>
      <c r="J57" s="172"/>
      <c r="K57" s="175"/>
      <c r="L57" s="173"/>
      <c r="M57" s="147"/>
      <c r="N57" s="141"/>
      <c r="O57" s="144"/>
      <c r="P57" s="371"/>
      <c r="Q57" s="7"/>
      <c r="R57" s="134"/>
      <c r="S57" s="7"/>
      <c r="U57" s="84">
        <f t="shared" si="1"/>
        <v>0</v>
      </c>
      <c r="V57" s="144"/>
      <c r="X57" s="136"/>
    </row>
    <row r="58" spans="2:24" s="131" customFormat="1" x14ac:dyDescent="0.25">
      <c r="C58" s="145" t="s">
        <v>533</v>
      </c>
      <c r="E58" s="387" t="s">
        <v>178</v>
      </c>
      <c r="F58" s="388"/>
      <c r="G58" s="388"/>
      <c r="H58" s="388"/>
      <c r="I58" s="389"/>
      <c r="J58" s="172"/>
      <c r="K58" s="175"/>
      <c r="L58" s="173"/>
      <c r="M58" s="147"/>
      <c r="N58" s="141"/>
      <c r="O58" s="144" t="str">
        <f>IFERROR(VLOOKUP(L58,#REF!,4,FALSE),"")</f>
        <v/>
      </c>
      <c r="P58" s="371"/>
      <c r="Q58" s="7"/>
      <c r="R58" s="134"/>
      <c r="S58" s="7"/>
      <c r="U58" s="84">
        <f t="shared" si="1"/>
        <v>0</v>
      </c>
      <c r="V58" s="144"/>
      <c r="X58" s="136"/>
    </row>
    <row r="59" spans="2:24" s="131" customFormat="1" x14ac:dyDescent="0.25">
      <c r="C59" s="145"/>
      <c r="E59" s="172" t="str">
        <f>IF($E$58='EBM00256'!$C$159,'EBM00256'!C162,IF($E$58='EBM00256'!$C$160,'EBM00256'!C165,IF($E$58='EBM00256'!$C$161,'EBM00256'!C168,"")))</f>
        <v/>
      </c>
      <c r="F59" s="172"/>
      <c r="G59" s="172"/>
      <c r="H59" s="172"/>
      <c r="I59" s="172"/>
      <c r="J59" s="172"/>
      <c r="K59" s="175"/>
      <c r="L59" s="173" t="str">
        <f>IFERROR(IF(INDEX('EBM00256'!B:B,MATCH(E59,'EBM00256'!C:C,0))=0,"",INDEX('EBM00256'!B:B,MATCH(E59,'EBM00256'!C:C,0))),"")</f>
        <v/>
      </c>
      <c r="M59" s="147"/>
      <c r="N59" s="141">
        <f>IF(E59&lt;&gt;"",VLOOKUP(L59,'EBM00256'!B:D,3,FALSE),0)</f>
        <v>0</v>
      </c>
      <c r="O59" s="144" t="str">
        <f>IFERROR(VLOOKUP(L59,#REF!,4,FALSE),"")</f>
        <v/>
      </c>
      <c r="P59" s="371">
        <f>IFERROR(VLOOKUP(L59,'EBM00256'!$B:$F,4,),0)</f>
        <v>0</v>
      </c>
      <c r="Q59" s="7"/>
      <c r="R59" s="134"/>
      <c r="S59" s="7"/>
      <c r="U59" s="84">
        <f t="shared" si="1"/>
        <v>0</v>
      </c>
      <c r="V59" s="144"/>
      <c r="X59" s="136"/>
    </row>
    <row r="60" spans="2:24" s="131" customFormat="1" x14ac:dyDescent="0.25">
      <c r="C60" s="145"/>
      <c r="E60" s="172" t="str">
        <f>IF($E$58='EBM00256'!$C$159,'EBM00256'!C163,IF($E$58='EBM00256'!$C$160,'EBM00256'!C166,IF($E$58='EBM00256'!$C$161,'EBM00256'!C169,"")))</f>
        <v/>
      </c>
      <c r="F60" s="172"/>
      <c r="G60" s="172"/>
      <c r="H60" s="172"/>
      <c r="I60" s="172"/>
      <c r="J60" s="172"/>
      <c r="K60" s="175"/>
      <c r="L60" s="173" t="str">
        <f>IFERROR(IF(INDEX('EBM00256'!B:B,MATCH(E60,'EBM00256'!C:C,0))=0,"",INDEX('EBM00256'!B:B,MATCH(E60,'EBM00256'!C:C,0))),"")</f>
        <v/>
      </c>
      <c r="M60" s="147"/>
      <c r="N60" s="141">
        <f>IF(E60&lt;&gt;"",VLOOKUP(L60,'EBM00256'!B:D,3,FALSE),0)</f>
        <v>0</v>
      </c>
      <c r="O60" s="144" t="str">
        <f>IFERROR(VLOOKUP(L60,#REF!,4,FALSE),"")</f>
        <v/>
      </c>
      <c r="P60" s="371">
        <f>IFERROR(VLOOKUP(L60,'EBM00256'!$B:$F,4,),)</f>
        <v>0</v>
      </c>
      <c r="Q60" s="7"/>
      <c r="R60" s="134"/>
      <c r="S60" s="7"/>
      <c r="U60" s="84">
        <f t="shared" si="1"/>
        <v>0</v>
      </c>
      <c r="V60" s="144"/>
      <c r="X60" s="136"/>
    </row>
    <row r="61" spans="2:24" s="131" customFormat="1" x14ac:dyDescent="0.25">
      <c r="C61" s="145"/>
      <c r="E61" s="172" t="str">
        <f>IF($E$58='EBM00256'!$C$159,'EBM00256'!C164,IF($E$58='EBM00256'!$C$160,'EBM00256'!C167,IF($E$58='EBM00256'!$C$161,'EBM00256'!C170,"")))</f>
        <v/>
      </c>
      <c r="F61" s="172"/>
      <c r="G61" s="172"/>
      <c r="H61" s="172"/>
      <c r="I61" s="172"/>
      <c r="J61" s="172"/>
      <c r="K61" s="175"/>
      <c r="L61" s="173" t="str">
        <f>IFERROR(IF(INDEX('EBM00256'!B:B,MATCH(E61,'EBM00256'!C:C,0))=0,"",INDEX('EBM00256'!B:B,MATCH(E61,'EBM00256'!C:C,0))),"")</f>
        <v/>
      </c>
      <c r="M61" s="147"/>
      <c r="N61" s="141">
        <f>IF(E61&lt;&gt;"",VLOOKUP(L61,'EBM00256'!B:D,3,FALSE),0)</f>
        <v>0</v>
      </c>
      <c r="O61" s="144" t="str">
        <f>IFERROR(VLOOKUP(L61,#REF!,4,FALSE),"")</f>
        <v/>
      </c>
      <c r="P61" s="371">
        <f>IFERROR(VLOOKUP(L61,'EBM00256'!$B:$F,4,),)</f>
        <v>0</v>
      </c>
      <c r="Q61" s="7"/>
      <c r="R61" s="134"/>
      <c r="S61" s="7"/>
      <c r="U61" s="84">
        <f t="shared" si="1"/>
        <v>0</v>
      </c>
      <c r="V61" s="144"/>
      <c r="X61" s="136"/>
    </row>
    <row r="62" spans="2:24" s="131" customFormat="1" ht="3.75" customHeight="1" x14ac:dyDescent="0.25">
      <c r="C62" s="127"/>
      <c r="L62" s="173"/>
      <c r="M62" s="144"/>
      <c r="N62" s="141"/>
      <c r="O62" s="144"/>
      <c r="P62" s="371"/>
      <c r="U62" s="84">
        <f t="shared" si="1"/>
        <v>0</v>
      </c>
      <c r="V62" s="144"/>
      <c r="X62" s="136"/>
    </row>
    <row r="63" spans="2:24" s="131" customFormat="1" ht="15" customHeight="1" x14ac:dyDescent="0.25">
      <c r="B63" s="129"/>
      <c r="C63" s="132" t="s">
        <v>705</v>
      </c>
      <c r="D63" s="136"/>
      <c r="E63" s="387" t="s">
        <v>178</v>
      </c>
      <c r="F63" s="388"/>
      <c r="G63" s="388"/>
      <c r="H63" s="388"/>
      <c r="I63" s="389"/>
      <c r="J63" s="172"/>
      <c r="K63" s="175"/>
      <c r="L63" s="173" t="str">
        <f>IFERROR(IF(INDEX('EBM00256'!B:B,MATCH(E63,'EBM00256'!C:C,0))=0,"",INDEX('EBM00256'!B:B,MATCH(E63,'EBM00256'!C:C,0))),"")</f>
        <v>---</v>
      </c>
      <c r="M63" s="148"/>
      <c r="N63" s="141"/>
      <c r="O63" s="144" t="str">
        <f>IFERROR(VLOOKUP(L63,#REF!,4,FALSE),"")</f>
        <v/>
      </c>
      <c r="P63" s="371"/>
      <c r="Q63" s="7"/>
      <c r="R63" s="8"/>
      <c r="S63" s="130"/>
      <c r="U63" s="84">
        <f t="shared" si="1"/>
        <v>0</v>
      </c>
      <c r="V63" s="144"/>
      <c r="X63" s="136"/>
    </row>
    <row r="64" spans="2:24" s="131" customFormat="1" ht="4.5" customHeight="1" x14ac:dyDescent="0.25">
      <c r="B64" s="129"/>
      <c r="C64" s="132"/>
      <c r="D64" s="136"/>
      <c r="E64" s="172"/>
      <c r="F64" s="172"/>
      <c r="G64" s="172"/>
      <c r="H64" s="172"/>
      <c r="I64" s="172"/>
      <c r="J64" s="172"/>
      <c r="K64" s="175"/>
      <c r="L64" s="173"/>
      <c r="M64" s="148"/>
      <c r="N64" s="141"/>
      <c r="O64" s="144"/>
      <c r="P64" s="371"/>
      <c r="Q64" s="7"/>
      <c r="R64" s="8"/>
      <c r="S64" s="130"/>
      <c r="U64" s="84">
        <f t="shared" si="1"/>
        <v>0</v>
      </c>
      <c r="V64" s="144"/>
      <c r="X64" s="136"/>
    </row>
    <row r="65" spans="2:24" s="131" customFormat="1" ht="15" customHeight="1" x14ac:dyDescent="0.25">
      <c r="B65" s="129"/>
      <c r="C65" s="132"/>
      <c r="D65" s="136"/>
      <c r="E65" s="172" t="str">
        <f>IF($E$63='EBM00256'!$C$104,'EBM00256'!C108,IF($E$63='EBM00256'!$C$105,'EBM00256'!C112,IF($E$63='EBM00256'!$C$106,'EBM00256'!C116,"")))</f>
        <v/>
      </c>
      <c r="F65" s="172"/>
      <c r="G65" s="172"/>
      <c r="H65" s="172"/>
      <c r="I65" s="172"/>
      <c r="J65" s="172"/>
      <c r="K65" s="175"/>
      <c r="L65" s="173" t="str">
        <f>IFERROR(IF(INDEX('EBM00256'!B:B,MATCH(E65,'EBM00256'!C:C,0))=0,"",INDEX('EBM00256'!B:B,MATCH(E65,'EBM00256'!C:C,0))),"")</f>
        <v/>
      </c>
      <c r="M65" s="148"/>
      <c r="N65" s="173" t="str">
        <f>IF(E65&gt;0,"1","")</f>
        <v>1</v>
      </c>
      <c r="O65" s="144" t="str">
        <f>IFERROR(VLOOKUP(L65,#REF!,4,FALSE),"")</f>
        <v/>
      </c>
      <c r="P65" s="371">
        <f>IFERROR(VLOOKUP(L65,'EBM00256'!$B:$F,4,),)</f>
        <v>0</v>
      </c>
      <c r="Q65" s="7"/>
      <c r="R65" s="8"/>
      <c r="S65" s="130"/>
      <c r="U65" s="84">
        <f t="shared" si="1"/>
        <v>0</v>
      </c>
      <c r="V65" s="144"/>
      <c r="X65" s="136"/>
    </row>
    <row r="66" spans="2:24" s="131" customFormat="1" ht="15" customHeight="1" x14ac:dyDescent="0.25">
      <c r="B66" s="129"/>
      <c r="C66" s="132"/>
      <c r="D66" s="136"/>
      <c r="E66" s="172" t="str">
        <f>IF($E$63='EBM00256'!$C$104,'EBM00256'!C109,IF($E$63='EBM00256'!$C$105,'EBM00256'!C113,IF($E$63='EBM00256'!$C$106,'EBM00256'!C117,"")))</f>
        <v/>
      </c>
      <c r="F66" s="172"/>
      <c r="G66" s="172"/>
      <c r="H66" s="172"/>
      <c r="I66" s="172"/>
      <c r="J66" s="172"/>
      <c r="K66" s="175"/>
      <c r="L66" s="173" t="str">
        <f>IFERROR(IF(INDEX('EBM00256'!B:B,MATCH(E66,'EBM00256'!C:C,0))=0,"",INDEX('EBM00256'!B:B,MATCH(E66,'EBM00256'!C:C,0))),"")</f>
        <v/>
      </c>
      <c r="M66" s="148"/>
      <c r="N66" s="173" t="str">
        <f>IF(E66&gt;0,"1","")</f>
        <v>1</v>
      </c>
      <c r="O66" s="144" t="str">
        <f>IFERROR(VLOOKUP(L66,#REF!,4,FALSE),"")</f>
        <v/>
      </c>
      <c r="P66" s="371">
        <f>IFERROR(VLOOKUP(L66,'EBM00256'!$B:$F,4,),)</f>
        <v>0</v>
      </c>
      <c r="Q66" s="7"/>
      <c r="R66" s="8"/>
      <c r="S66" s="130"/>
      <c r="U66" s="84">
        <f t="shared" si="1"/>
        <v>0</v>
      </c>
      <c r="V66" s="144"/>
      <c r="X66" s="136"/>
    </row>
    <row r="67" spans="2:24" s="131" customFormat="1" ht="15" customHeight="1" x14ac:dyDescent="0.25">
      <c r="B67" s="129"/>
      <c r="C67" s="132"/>
      <c r="D67" s="136"/>
      <c r="E67" s="172" t="str">
        <f>IF($E$63='EBM00256'!$C$104,'EBM00256'!C110,IF($E$63='EBM00256'!$C$105,'EBM00256'!C114,IF($E$63='EBM00256'!$C$106,'EBM00256'!C118,"")))</f>
        <v/>
      </c>
      <c r="F67" s="172"/>
      <c r="G67" s="172"/>
      <c r="H67" s="172"/>
      <c r="I67" s="172"/>
      <c r="J67" s="172"/>
      <c r="K67" s="175"/>
      <c r="L67" s="173" t="str">
        <f>IFERROR(IF(INDEX('EBM00256'!B:B,MATCH(E67,'EBM00256'!C:C,0))=0,"",INDEX('EBM00256'!B:B,MATCH(E67,'EBM00256'!C:C,0))),"")</f>
        <v/>
      </c>
      <c r="M67" s="148"/>
      <c r="N67" s="173" t="str">
        <f>IF(E67&gt;0,"1","")</f>
        <v>1</v>
      </c>
      <c r="O67" s="144" t="str">
        <f>IFERROR(VLOOKUP(L67,#REF!,4,FALSE),"")</f>
        <v/>
      </c>
      <c r="P67" s="371">
        <f>IFERROR(VLOOKUP(L67,'EBM00256'!$B:$F,4,),)</f>
        <v>0</v>
      </c>
      <c r="Q67" s="7"/>
      <c r="R67" s="8"/>
      <c r="S67" s="130"/>
      <c r="U67" s="84">
        <f t="shared" si="1"/>
        <v>0</v>
      </c>
      <c r="V67" s="144"/>
      <c r="X67" s="136"/>
    </row>
    <row r="68" spans="2:24" s="131" customFormat="1" ht="15" customHeight="1" x14ac:dyDescent="0.25">
      <c r="B68" s="129"/>
      <c r="C68" s="132"/>
      <c r="D68" s="136"/>
      <c r="E68" s="172" t="str">
        <f>IF($E$63='EBM00256'!$C$106,'EBM00256'!C119,"")</f>
        <v/>
      </c>
      <c r="F68" s="172"/>
      <c r="G68" s="172"/>
      <c r="H68" s="172"/>
      <c r="I68" s="172"/>
      <c r="J68" s="172"/>
      <c r="K68" s="175"/>
      <c r="L68" s="173" t="str">
        <f>IFERROR(IF(INDEX('EBM00256'!B:B,MATCH(E68,'EBM00256'!C:C,0))=0,"",INDEX('EBM00256'!B:B,MATCH(E68,'EBM00256'!C:C,0))),"")</f>
        <v/>
      </c>
      <c r="M68" s="148"/>
      <c r="N68" s="173" t="str">
        <f>IF(E68&gt;0,"1","")</f>
        <v>1</v>
      </c>
      <c r="O68" s="144" t="str">
        <f>IFERROR(VLOOKUP(L68,#REF!,4,FALSE),"")</f>
        <v/>
      </c>
      <c r="P68" s="371">
        <f>IFERROR(VLOOKUP(L68,'EBM00256'!$B:$F,4,),)</f>
        <v>0</v>
      </c>
      <c r="Q68" s="7"/>
      <c r="R68" s="8"/>
      <c r="S68" s="130"/>
      <c r="U68" s="84">
        <f t="shared" si="1"/>
        <v>0</v>
      </c>
      <c r="V68" s="144"/>
      <c r="X68" s="136"/>
    </row>
    <row r="69" spans="2:24" s="131" customFormat="1" ht="4.5" customHeight="1" x14ac:dyDescent="0.25">
      <c r="B69" s="129"/>
      <c r="C69" s="132"/>
      <c r="D69" s="136"/>
      <c r="E69" s="172"/>
      <c r="F69" s="172"/>
      <c r="G69" s="172"/>
      <c r="H69" s="172"/>
      <c r="I69" s="172"/>
      <c r="J69" s="172"/>
      <c r="K69" s="175"/>
      <c r="L69" s="173"/>
      <c r="M69" s="148"/>
      <c r="N69" s="173"/>
      <c r="O69" s="144"/>
      <c r="P69" s="371"/>
      <c r="Q69" s="7"/>
      <c r="R69" s="8"/>
      <c r="S69" s="130"/>
      <c r="U69" s="84">
        <f t="shared" si="1"/>
        <v>0</v>
      </c>
      <c r="V69" s="144"/>
      <c r="X69" s="136"/>
    </row>
    <row r="70" spans="2:24" s="131" customFormat="1" ht="15" customHeight="1" x14ac:dyDescent="0.25">
      <c r="B70" s="129"/>
      <c r="C70" s="132" t="s">
        <v>195</v>
      </c>
      <c r="D70" s="136"/>
      <c r="E70" s="387" t="s">
        <v>178</v>
      </c>
      <c r="F70" s="388"/>
      <c r="G70" s="388"/>
      <c r="H70" s="388"/>
      <c r="I70" s="389"/>
      <c r="J70" s="136"/>
      <c r="K70" s="136"/>
      <c r="L70" s="173"/>
      <c r="M70" s="148"/>
      <c r="N70" s="173"/>
      <c r="O70" s="144" t="str">
        <f>IFERROR(VLOOKUP(L70,#REF!,4,FALSE),"")</f>
        <v/>
      </c>
      <c r="P70" s="371"/>
      <c r="R70" s="8"/>
      <c r="S70" s="130"/>
      <c r="U70" s="84">
        <f t="shared" si="1"/>
        <v>0</v>
      </c>
      <c r="V70" s="148"/>
      <c r="X70" s="136"/>
    </row>
    <row r="71" spans="2:24" s="131" customFormat="1" x14ac:dyDescent="0.25">
      <c r="C71" s="145"/>
      <c r="E71" s="131" t="str">
        <f>IF($E$70="Azurwave WiFi-AC",'EBM00256'!C127,IF($E$70="Intel WiFi-AC",'EBM00256'!C131,"---"))</f>
        <v>---</v>
      </c>
      <c r="L71" s="173" t="str">
        <f>IFERROR(IF(INDEX('EBM00256'!B:B,MATCH(E71,'EBM00256'!C:C,0))=0,"",INDEX('EBM00256'!B:B,MATCH(E71,'EBM00256'!C:C,0))),"")</f>
        <v>---</v>
      </c>
      <c r="M71" s="144"/>
      <c r="N71" s="141">
        <f>VLOOKUP(L71,'EBM00256'!B:F,3,FALSE)</f>
        <v>0</v>
      </c>
      <c r="O71" s="144" t="str">
        <f>IFERROR(VLOOKUP(L71,#REF!,4,FALSE),"")</f>
        <v/>
      </c>
      <c r="P71" s="371">
        <f>IFERROR(VLOOKUP(L71,'EBM00256'!$B:$F,4,),)</f>
        <v>0</v>
      </c>
      <c r="U71" s="84">
        <f t="shared" si="1"/>
        <v>0</v>
      </c>
      <c r="V71" s="148"/>
      <c r="X71" s="136"/>
    </row>
    <row r="72" spans="2:24" s="131" customFormat="1" x14ac:dyDescent="0.25">
      <c r="C72" s="145"/>
      <c r="E72" s="131" t="str">
        <f>IF($E$70="Azurwave WiFi-AC",'EBM00256'!C128,IF($E$70="Intel WiFi-AC",'EBM00256'!C132,"---"))</f>
        <v>---</v>
      </c>
      <c r="L72" s="173" t="str">
        <f>IFERROR(IF(INDEX('EBM00256'!B:B,MATCH(E72,'EBM00256'!C:C,0))=0,"",INDEX('EBM00256'!B:B,MATCH(E72,'EBM00256'!C:C,0))),"")</f>
        <v>---</v>
      </c>
      <c r="M72" s="144"/>
      <c r="N72" s="141">
        <f>VLOOKUP(L72,'EBM00256'!B:F,3,FALSE)</f>
        <v>0</v>
      </c>
      <c r="O72" s="144" t="str">
        <f>IFERROR(VLOOKUP(L72,#REF!,4,FALSE),"")</f>
        <v/>
      </c>
      <c r="P72" s="371">
        <f>IFERROR(VLOOKUP(L72,'EBM00256'!$B:$F,4,),)</f>
        <v>0</v>
      </c>
      <c r="U72" s="84">
        <f t="shared" si="1"/>
        <v>0</v>
      </c>
      <c r="V72" s="148"/>
      <c r="X72" s="136"/>
    </row>
    <row r="73" spans="2:24" s="131" customFormat="1" x14ac:dyDescent="0.25">
      <c r="C73" s="145"/>
      <c r="E73" s="131" t="str">
        <f>IF($E$70="Azurwave WiFi-AC",'EBM00256'!C129,IF($E$70="Intel WiFi-AC",'EBM00256'!C133,"---"))</f>
        <v>---</v>
      </c>
      <c r="L73" s="173" t="str">
        <f>IFERROR(IF(INDEX('EBM00256'!B:B,MATCH(E73,'EBM00256'!C:C,0))=0,"",INDEX('EBM00256'!B:B,MATCH(E73,'EBM00256'!C:C,0))),"")</f>
        <v>---</v>
      </c>
      <c r="M73" s="144"/>
      <c r="N73" s="141">
        <f>VLOOKUP(L73,'EBM00256'!B:F,3,FALSE)</f>
        <v>0</v>
      </c>
      <c r="O73" s="144" t="str">
        <f>IFERROR(VLOOKUP(L73,#REF!,4,FALSE),"")</f>
        <v/>
      </c>
      <c r="P73" s="371">
        <f>IFERROR(VLOOKUP(L73,'EBM00256'!$B:$F,4,),)</f>
        <v>0</v>
      </c>
      <c r="U73" s="84">
        <f t="shared" si="1"/>
        <v>0</v>
      </c>
      <c r="V73" s="148"/>
      <c r="X73" s="136"/>
    </row>
    <row r="74" spans="2:24" s="131" customFormat="1" ht="4.5" customHeight="1" x14ac:dyDescent="0.25">
      <c r="C74" s="132"/>
      <c r="L74" s="173"/>
      <c r="M74" s="144"/>
      <c r="N74" s="141"/>
      <c r="O74" s="144"/>
      <c r="P74" s="371"/>
      <c r="U74" s="84">
        <f t="shared" ref="U74:U109" si="2">N74*P74</f>
        <v>0</v>
      </c>
      <c r="V74" s="148"/>
      <c r="X74" s="136"/>
    </row>
    <row r="75" spans="2:24" s="131" customFormat="1" x14ac:dyDescent="0.25">
      <c r="C75" s="132" t="s">
        <v>67</v>
      </c>
      <c r="E75" s="387" t="s">
        <v>178</v>
      </c>
      <c r="F75" s="388"/>
      <c r="G75" s="388"/>
      <c r="H75" s="388"/>
      <c r="I75" s="389"/>
      <c r="L75" s="173"/>
      <c r="M75" s="144"/>
      <c r="N75" s="141"/>
      <c r="O75" s="144" t="str">
        <f>IFERROR(VLOOKUP(L75,#REF!,4,FALSE),"")</f>
        <v/>
      </c>
      <c r="P75" s="371"/>
      <c r="U75" s="84">
        <f t="shared" si="2"/>
        <v>0</v>
      </c>
      <c r="V75" s="148"/>
      <c r="X75" s="136"/>
    </row>
    <row r="76" spans="2:24" s="131" customFormat="1" x14ac:dyDescent="0.25">
      <c r="C76" s="145"/>
      <c r="E76" s="131" t="str">
        <f>IF($E$75="---","---",'EBM00256'!C138)</f>
        <v>---</v>
      </c>
      <c r="L76" s="173" t="str">
        <f>IFERROR(IF(INDEX('EBM00256'!B:B,MATCH(E76,'EBM00256'!C:C,0))=0,"",INDEX('EBM00256'!B:B,MATCH(E76,'EBM00256'!C:C,0))),"")</f>
        <v>---</v>
      </c>
      <c r="M76" s="144"/>
      <c r="N76" s="141">
        <f>VLOOKUP(L76,'EBM00256'!B:F,3,FALSE)</f>
        <v>0</v>
      </c>
      <c r="O76" s="144" t="str">
        <f>IFERROR(VLOOKUP(L76,#REF!,4,FALSE),"")</f>
        <v/>
      </c>
      <c r="P76" s="371">
        <f>IFERROR(VLOOKUP(L76,'EBM00256'!$B:$F,4,),)</f>
        <v>0</v>
      </c>
      <c r="U76" s="84">
        <f t="shared" si="2"/>
        <v>0</v>
      </c>
      <c r="V76" s="148"/>
      <c r="X76" s="136"/>
    </row>
    <row r="77" spans="2:24" s="131" customFormat="1" x14ac:dyDescent="0.25">
      <c r="C77" s="145"/>
      <c r="E77" s="131" t="str">
        <f>IF($E$75="---","---",'EBM00256'!C139)</f>
        <v>---</v>
      </c>
      <c r="L77" s="173" t="str">
        <f>IFERROR(IF(INDEX('EBM00256'!B:B,MATCH(E77,'EBM00256'!C:C,0))=0,"",INDEX('EBM00256'!B:B,MATCH(E77,'EBM00256'!C:C,0))),"")</f>
        <v>---</v>
      </c>
      <c r="M77" s="144"/>
      <c r="N77" s="141">
        <f>VLOOKUP(L77,'EBM00256'!B:F,3,FALSE)</f>
        <v>0</v>
      </c>
      <c r="O77" s="144" t="str">
        <f>IFERROR(VLOOKUP(L77,#REF!,4,FALSE),"")</f>
        <v/>
      </c>
      <c r="P77" s="371">
        <f>IFERROR(VLOOKUP(L77,'EBM00256'!$B:$F,4,),)</f>
        <v>0</v>
      </c>
      <c r="U77" s="84">
        <f t="shared" si="2"/>
        <v>0</v>
      </c>
      <c r="V77" s="148"/>
      <c r="X77" s="136"/>
    </row>
    <row r="78" spans="2:24" s="131" customFormat="1" x14ac:dyDescent="0.25">
      <c r="C78" s="145"/>
      <c r="E78" s="131" t="str">
        <f>IF($E$75="---","---",'EBM00256'!C140)</f>
        <v>---</v>
      </c>
      <c r="L78" s="191" t="str">
        <f>IFERROR(IF(INDEX('EBM00256'!B:B,MATCH(E78,'EBM00256'!C:C,0))=0,"",INDEX('EBM00256'!B:B,MATCH(E78,'EBM00256'!C:C,0))),"")</f>
        <v>---</v>
      </c>
      <c r="M78" s="144"/>
      <c r="N78" s="141">
        <f>VLOOKUP(L78,'EBM00256'!B:F,3,FALSE)</f>
        <v>0</v>
      </c>
      <c r="O78" s="144" t="str">
        <f>IFERROR(VLOOKUP(L78,#REF!,4,FALSE),"")</f>
        <v/>
      </c>
      <c r="P78" s="371">
        <f>IFERROR(VLOOKUP(L78,'EBM00256'!$B:$F,4,),)</f>
        <v>0</v>
      </c>
      <c r="U78" s="84">
        <f t="shared" si="2"/>
        <v>0</v>
      </c>
      <c r="V78" s="148"/>
      <c r="X78" s="136"/>
    </row>
    <row r="79" spans="2:24" s="131" customFormat="1" x14ac:dyDescent="0.25">
      <c r="C79" s="145"/>
      <c r="E79" s="131" t="str">
        <f>IF(AND(N76=1,N90&gt;0),'EBM00256'!C99,"")</f>
        <v/>
      </c>
      <c r="L79" s="173" t="str">
        <f>IFERROR(IF(INDEX('EBM00256'!B:B,MATCH(E79,'EBM00256'!C:C,0))=0,"",INDEX('EBM00256'!B:B,MATCH(E79,'EBM00256'!C:C,0))),"")</f>
        <v/>
      </c>
      <c r="M79" s="144"/>
      <c r="N79" s="141">
        <f>IFERROR(VLOOKUP(L79,'EBM00256'!B:F,3,FALSE),)</f>
        <v>0</v>
      </c>
      <c r="O79" s="144" t="str">
        <f>IFERROR(VLOOKUP(L79,#REF!,4,FALSE),"")</f>
        <v/>
      </c>
      <c r="P79" s="371">
        <f>IFERROR(VLOOKUP(L79,'EBM00256'!$B:$F,4,),)</f>
        <v>0</v>
      </c>
      <c r="U79" s="84">
        <f t="shared" si="2"/>
        <v>0</v>
      </c>
      <c r="V79" s="148"/>
      <c r="X79" s="136"/>
    </row>
    <row r="80" spans="2:24" s="131" customFormat="1" ht="3.75" customHeight="1" x14ac:dyDescent="0.25">
      <c r="C80" s="145"/>
      <c r="L80" s="173"/>
      <c r="M80" s="144"/>
      <c r="N80" s="141"/>
      <c r="O80" s="144"/>
      <c r="P80" s="371"/>
      <c r="U80" s="84">
        <f t="shared" si="2"/>
        <v>0</v>
      </c>
      <c r="V80" s="148"/>
      <c r="X80" s="136"/>
    </row>
    <row r="81" spans="1:24" s="131" customFormat="1" ht="3.75" customHeight="1" x14ac:dyDescent="0.25">
      <c r="C81" s="145"/>
      <c r="L81" s="173"/>
      <c r="M81" s="144"/>
      <c r="N81" s="141"/>
      <c r="O81" s="144"/>
      <c r="P81" s="371"/>
      <c r="U81" s="84">
        <f t="shared" si="2"/>
        <v>0</v>
      </c>
      <c r="V81" s="148"/>
      <c r="X81" s="136"/>
    </row>
    <row r="82" spans="1:24" s="131" customFormat="1" x14ac:dyDescent="0.25">
      <c r="A82" s="144">
        <v>0</v>
      </c>
      <c r="B82" s="44"/>
      <c r="C82" s="132" t="s">
        <v>534</v>
      </c>
      <c r="E82" s="13" t="s">
        <v>200</v>
      </c>
      <c r="L82" s="50" t="str">
        <f>N82&amp;N83&amp;N84</f>
        <v>000</v>
      </c>
      <c r="M82" s="144"/>
      <c r="N82" s="67">
        <v>0</v>
      </c>
      <c r="O82" s="144" t="str">
        <f>IFERROR(VLOOKUP(L82,#REF!,4,FALSE),"")</f>
        <v/>
      </c>
      <c r="P82" s="371"/>
      <c r="U82" s="84">
        <f t="shared" si="2"/>
        <v>0</v>
      </c>
      <c r="V82" s="148"/>
      <c r="X82" s="136"/>
    </row>
    <row r="83" spans="1:24" s="131" customFormat="1" ht="3.75" customHeight="1" x14ac:dyDescent="0.25">
      <c r="A83" s="144">
        <v>1</v>
      </c>
      <c r="C83" s="145"/>
      <c r="E83" s="120" t="s">
        <v>201</v>
      </c>
      <c r="L83" s="48"/>
      <c r="M83" s="144"/>
      <c r="N83" s="141">
        <v>0</v>
      </c>
      <c r="O83" s="144"/>
      <c r="P83" s="371"/>
      <c r="U83" s="84">
        <f t="shared" si="2"/>
        <v>0</v>
      </c>
      <c r="V83" s="148"/>
      <c r="X83" s="136"/>
    </row>
    <row r="84" spans="1:24" s="131" customFormat="1" x14ac:dyDescent="0.25">
      <c r="A84" s="144">
        <v>2</v>
      </c>
      <c r="C84" s="128" t="s">
        <v>535</v>
      </c>
      <c r="E84" s="13" t="s">
        <v>202</v>
      </c>
      <c r="L84" s="141"/>
      <c r="M84" s="140"/>
      <c r="N84" s="67">
        <v>0</v>
      </c>
      <c r="O84" s="144" t="str">
        <f>IFERROR(VLOOKUP(L84,#REF!,4,FALSE),"")</f>
        <v/>
      </c>
      <c r="P84" s="371"/>
      <c r="U84" s="84">
        <f t="shared" si="2"/>
        <v>0</v>
      </c>
      <c r="V84" s="148"/>
      <c r="X84" s="136"/>
    </row>
    <row r="85" spans="1:24" s="131" customFormat="1" ht="6" customHeight="1" x14ac:dyDescent="0.25">
      <c r="A85" s="144">
        <v>3</v>
      </c>
      <c r="C85" s="145"/>
      <c r="L85" s="141"/>
      <c r="M85" s="140"/>
      <c r="N85" s="141"/>
      <c r="O85" s="144"/>
      <c r="P85" s="371"/>
      <c r="U85" s="84">
        <f t="shared" si="2"/>
        <v>0</v>
      </c>
      <c r="V85" s="148"/>
      <c r="X85" s="136"/>
    </row>
    <row r="86" spans="1:24" s="131" customFormat="1" x14ac:dyDescent="0.25">
      <c r="A86" s="144">
        <v>4</v>
      </c>
      <c r="C86" s="145"/>
      <c r="E86" s="131" t="e">
        <f>'TL³ RS232 Konfig-Übersicht'!B6</f>
        <v>#REF!</v>
      </c>
      <c r="L86" s="141" t="str">
        <f>IFERROR(IF(INDEX('TL³ RS232 Konfig-Übersicht'!A:A,MATCH(E86,'TL³ RS232 Konfig-Übersicht'!B:B,0))=0,"",INDEX('TL³ RS232 Konfig-Übersicht'!A:A,MATCH(E86,'TL³ RS232 Konfig-Übersicht'!B:B,0))),"")</f>
        <v/>
      </c>
      <c r="M86" s="140"/>
      <c r="N86" s="141">
        <f>HLOOKUP($L$82,'TL³ RS232 Konfig-Übersicht'!$C$5:$AA$18,2,FALSE)</f>
        <v>0</v>
      </c>
      <c r="O86" s="144"/>
      <c r="P86" s="371">
        <f>IFERROR(VLOOKUP(L86,'EBM00256'!$B:$F,4,),)</f>
        <v>0</v>
      </c>
      <c r="U86" s="84">
        <f t="shared" si="2"/>
        <v>0</v>
      </c>
      <c r="V86" s="148"/>
      <c r="X86" s="136"/>
    </row>
    <row r="87" spans="1:24" s="131" customFormat="1" x14ac:dyDescent="0.25">
      <c r="C87" s="145"/>
      <c r="E87" s="131" t="e">
        <f>'TL³ RS232 Konfig-Übersicht'!B7</f>
        <v>#REF!</v>
      </c>
      <c r="L87" s="141" t="str">
        <f>IFERROR(IF(INDEX('TL³ RS232 Konfig-Übersicht'!A:A,MATCH(E87,'TL³ RS232 Konfig-Übersicht'!B:B,0))=0,"",INDEX('TL³ RS232 Konfig-Übersicht'!A:A,MATCH(E87,'TL³ RS232 Konfig-Übersicht'!B:B,0))),"")</f>
        <v/>
      </c>
      <c r="M87" s="140"/>
      <c r="N87" s="141">
        <f>HLOOKUP($L$82,'TL³ RS232 Konfig-Übersicht'!$C$5:$AA$18,3,FALSE)</f>
        <v>0</v>
      </c>
      <c r="O87" s="144"/>
      <c r="P87" s="371">
        <f>IFERROR(VLOOKUP(L87,'EBM00256'!$B:$F,4,),)</f>
        <v>0</v>
      </c>
      <c r="U87" s="84">
        <f t="shared" si="2"/>
        <v>0</v>
      </c>
      <c r="V87" s="148"/>
      <c r="X87" s="136"/>
    </row>
    <row r="88" spans="1:24" s="131" customFormat="1" x14ac:dyDescent="0.25">
      <c r="C88" s="145"/>
      <c r="E88" s="131" t="e">
        <f>'TL³ RS232 Konfig-Übersicht'!B8</f>
        <v>#REF!</v>
      </c>
      <c r="L88" s="141" t="str">
        <f>IFERROR(IF(INDEX('TL³ RS232 Konfig-Übersicht'!A:A,MATCH(E88,'TL³ RS232 Konfig-Übersicht'!B:B,0))=0,"",INDEX('TL³ RS232 Konfig-Übersicht'!A:A,MATCH(E88,'TL³ RS232 Konfig-Übersicht'!B:B,0))),"")</f>
        <v/>
      </c>
      <c r="M88" s="140"/>
      <c r="N88" s="141">
        <f>HLOOKUP($L$82,'TL³ RS232 Konfig-Übersicht'!$C$5:$AA$18,4,FALSE)</f>
        <v>0</v>
      </c>
      <c r="O88" s="144"/>
      <c r="P88" s="371">
        <f>IFERROR(VLOOKUP(L88,'EBM00256'!$B:$F,4,),)</f>
        <v>0</v>
      </c>
      <c r="U88" s="84">
        <f t="shared" si="2"/>
        <v>0</v>
      </c>
      <c r="V88" s="148"/>
      <c r="X88" s="136"/>
    </row>
    <row r="89" spans="1:24" s="131" customFormat="1" x14ac:dyDescent="0.25">
      <c r="C89" s="145"/>
      <c r="E89" s="131" t="e">
        <f>'TL³ RS232 Konfig-Übersicht'!B9</f>
        <v>#REF!</v>
      </c>
      <c r="L89" s="141" t="str">
        <f>IFERROR(IF(INDEX('TL³ RS232 Konfig-Übersicht'!A:A,MATCH(E89,'TL³ RS232 Konfig-Übersicht'!B:B,0))=0,"",INDEX('TL³ RS232 Konfig-Übersicht'!A:A,MATCH(E89,'TL³ RS232 Konfig-Übersicht'!B:B,0))),"")</f>
        <v/>
      </c>
      <c r="M89" s="140"/>
      <c r="N89" s="141">
        <f>HLOOKUP($L$82,'TL³ RS232 Konfig-Übersicht'!$C$5:$AA$18,5,FALSE)</f>
        <v>0</v>
      </c>
      <c r="O89" s="144"/>
      <c r="P89" s="371">
        <f>IFERROR(VLOOKUP(L89,'EBM00256'!$B:$F,4,),)</f>
        <v>0</v>
      </c>
      <c r="U89" s="84">
        <f t="shared" si="2"/>
        <v>0</v>
      </c>
      <c r="V89" s="148"/>
      <c r="X89" s="136"/>
    </row>
    <row r="90" spans="1:24" s="131" customFormat="1" x14ac:dyDescent="0.25">
      <c r="C90" s="145"/>
      <c r="E90" s="131" t="e">
        <f>'TL³ RS232 Konfig-Übersicht'!B10</f>
        <v>#REF!</v>
      </c>
      <c r="L90" s="141" t="str">
        <f>IFERROR(IF(INDEX('TL³ RS232 Konfig-Übersicht'!A:A,MATCH(E90,'TL³ RS232 Konfig-Übersicht'!B:B,0))=0,"",INDEX('TL³ RS232 Konfig-Übersicht'!A:A,MATCH(E90,'TL³ RS232 Konfig-Übersicht'!B:B,0))),"")</f>
        <v/>
      </c>
      <c r="M90" s="140"/>
      <c r="N90" s="141">
        <f>HLOOKUP($L$82,'TL³ RS232 Konfig-Übersicht'!$C$5:$AA$18,6,FALSE)</f>
        <v>0</v>
      </c>
      <c r="O90" s="144"/>
      <c r="P90" s="371">
        <f>IFERROR(VLOOKUP(L90,'EBM00256'!$B:$F,4,),)</f>
        <v>0</v>
      </c>
      <c r="U90" s="84">
        <f t="shared" si="2"/>
        <v>0</v>
      </c>
      <c r="V90" s="148"/>
      <c r="X90" s="136"/>
    </row>
    <row r="91" spans="1:24" s="131" customFormat="1" x14ac:dyDescent="0.25">
      <c r="C91" s="145"/>
      <c r="E91" s="131" t="e">
        <f>'TL³ RS232 Konfig-Übersicht'!B11</f>
        <v>#REF!</v>
      </c>
      <c r="L91" s="141" t="str">
        <f>IFERROR(IF(INDEX('TL³ RS232 Konfig-Übersicht'!A:A,MATCH(E91,'TL³ RS232 Konfig-Übersicht'!B:B,0))=0,"",INDEX('TL³ RS232 Konfig-Übersicht'!A:A,MATCH(E91,'TL³ RS232 Konfig-Übersicht'!B:B,0))),"")</f>
        <v/>
      </c>
      <c r="M91" s="140"/>
      <c r="N91" s="141">
        <f>HLOOKUP($L$82,'TL³ RS232 Konfig-Übersicht'!$C$5:$AA$18,7,FALSE)</f>
        <v>0</v>
      </c>
      <c r="O91" s="144"/>
      <c r="P91" s="371">
        <f>IFERROR(VLOOKUP(L91,'EBM00256'!$B:$F,4,),)</f>
        <v>0</v>
      </c>
      <c r="U91" s="84">
        <f t="shared" si="2"/>
        <v>0</v>
      </c>
      <c r="V91" s="148"/>
      <c r="X91" s="136"/>
    </row>
    <row r="92" spans="1:24" s="131" customFormat="1" x14ac:dyDescent="0.25">
      <c r="C92" s="145"/>
      <c r="E92" s="131" t="e">
        <f>'TL³ RS232 Konfig-Übersicht'!B12</f>
        <v>#REF!</v>
      </c>
      <c r="L92" s="141" t="str">
        <f>IFERROR(IF(INDEX('TL³ RS232 Konfig-Übersicht'!A:A,MATCH(E92,'TL³ RS232 Konfig-Übersicht'!B:B,0))=0,"",INDEX('TL³ RS232 Konfig-Übersicht'!A:A,MATCH(E92,'TL³ RS232 Konfig-Übersicht'!B:B,0))),"")</f>
        <v/>
      </c>
      <c r="M92" s="140"/>
      <c r="N92" s="141">
        <f>HLOOKUP($L$82,'TL³ RS232 Konfig-Übersicht'!$C$5:$AA$18,8,FALSE)</f>
        <v>0</v>
      </c>
      <c r="O92" s="144"/>
      <c r="P92" s="371">
        <f>IFERROR(VLOOKUP(L92,'EBM00256'!$B:$F,4,),)</f>
        <v>0</v>
      </c>
      <c r="U92" s="84">
        <f t="shared" si="2"/>
        <v>0</v>
      </c>
      <c r="V92" s="148"/>
      <c r="X92" s="136"/>
    </row>
    <row r="93" spans="1:24" s="131" customFormat="1" x14ac:dyDescent="0.25">
      <c r="C93" s="145"/>
      <c r="E93" s="131" t="e">
        <f>'TL³ RS232 Konfig-Übersicht'!B13</f>
        <v>#REF!</v>
      </c>
      <c r="L93" s="141" t="str">
        <f>IFERROR(IF(INDEX('TL³ RS232 Konfig-Übersicht'!A:A,MATCH(E93,'TL³ RS232 Konfig-Übersicht'!B:B,0))=0,"",INDEX('TL³ RS232 Konfig-Übersicht'!A:A,MATCH(E93,'TL³ RS232 Konfig-Übersicht'!B:B,0))),"")</f>
        <v/>
      </c>
      <c r="M93" s="140"/>
      <c r="N93" s="141">
        <f>HLOOKUP($L$82,'TL³ RS232 Konfig-Übersicht'!$C$5:$AA$18,9,FALSE)</f>
        <v>0</v>
      </c>
      <c r="O93" s="144"/>
      <c r="P93" s="371">
        <f>IFERROR(VLOOKUP(L93,'EBM00256'!$B:$F,4,),)</f>
        <v>0</v>
      </c>
      <c r="U93" s="84">
        <f t="shared" si="2"/>
        <v>0</v>
      </c>
      <c r="V93" s="148"/>
      <c r="X93" s="136"/>
    </row>
    <row r="94" spans="1:24" s="131" customFormat="1" x14ac:dyDescent="0.25">
      <c r="C94" s="145"/>
      <c r="E94" s="131" t="e">
        <f>'TL³ RS232 Konfig-Übersicht'!B14</f>
        <v>#REF!</v>
      </c>
      <c r="L94" s="141" t="str">
        <f>IFERROR(IF(INDEX('TL³ RS232 Konfig-Übersicht'!A:A,MATCH(E94,'TL³ RS232 Konfig-Übersicht'!B:B,0))=0,"",INDEX('TL³ RS232 Konfig-Übersicht'!A:A,MATCH(E94,'TL³ RS232 Konfig-Übersicht'!B:B,0))),"")</f>
        <v/>
      </c>
      <c r="M94" s="140"/>
      <c r="N94" s="141">
        <f>HLOOKUP($L$82,'TL³ RS232 Konfig-Übersicht'!$C$5:$AA$18,10,FALSE)</f>
        <v>0</v>
      </c>
      <c r="O94" s="144"/>
      <c r="P94" s="371">
        <f>IFERROR(VLOOKUP(L94,'EBM00256'!$B:$F,4,),)</f>
        <v>0</v>
      </c>
      <c r="U94" s="84">
        <f t="shared" si="2"/>
        <v>0</v>
      </c>
      <c r="V94" s="148"/>
      <c r="X94" s="136"/>
    </row>
    <row r="95" spans="1:24" s="131" customFormat="1" x14ac:dyDescent="0.25">
      <c r="C95" s="145"/>
      <c r="E95" s="131" t="e">
        <f>'TL³ RS232 Konfig-Übersicht'!B15</f>
        <v>#REF!</v>
      </c>
      <c r="L95" s="141" t="str">
        <f>IFERROR(IF(INDEX('TL³ RS232 Konfig-Übersicht'!A:A,MATCH(E95,'TL³ RS232 Konfig-Übersicht'!B:B,0))=0,"",INDEX('TL³ RS232 Konfig-Übersicht'!A:A,MATCH(E95,'TL³ RS232 Konfig-Übersicht'!B:B,0))),"")</f>
        <v/>
      </c>
      <c r="M95" s="140"/>
      <c r="N95" s="141">
        <f>HLOOKUP($L$82,'TL³ RS232 Konfig-Übersicht'!$C$5:$AA$18,11,FALSE)</f>
        <v>0</v>
      </c>
      <c r="O95" s="144"/>
      <c r="P95" s="371">
        <f>IFERROR(VLOOKUP(L95,'EBM00256'!$B:$F,4,),)</f>
        <v>0</v>
      </c>
      <c r="U95" s="84">
        <f t="shared" si="2"/>
        <v>0</v>
      </c>
      <c r="V95" s="148"/>
      <c r="X95" s="136"/>
    </row>
    <row r="96" spans="1:24" s="131" customFormat="1" x14ac:dyDescent="0.25">
      <c r="C96" s="145"/>
      <c r="E96" s="131" t="str">
        <f>'TL³ RS232 Konfig-Übersicht'!B16</f>
        <v>AC³ M3-Sicherungsmutter (2 Stück je Provertha)</v>
      </c>
      <c r="L96" s="141" t="str">
        <f>IFERROR(IF(INDEX('TL³ RS232 Konfig-Übersicht'!A:A,MATCH(E96,'TL³ RS232 Konfig-Übersicht'!B:B,0))=0,"",INDEX('TL³ RS232 Konfig-Übersicht'!A:A,MATCH(E96,'TL³ RS232 Konfig-Übersicht'!B:B,0))),"")</f>
        <v>7000143M</v>
      </c>
      <c r="M96" s="140"/>
      <c r="N96" s="141">
        <f>HLOOKUP($L$82,'TL³ RS232 Konfig-Übersicht'!$C$5:$AA$18,12,FALSE)</f>
        <v>0</v>
      </c>
      <c r="O96" s="144"/>
      <c r="P96" s="371">
        <f>IFERROR(VLOOKUP(L96,'EBM00256'!$B:$F,4,),)</f>
        <v>0</v>
      </c>
      <c r="U96" s="84">
        <f t="shared" si="2"/>
        <v>0</v>
      </c>
      <c r="V96" s="148"/>
      <c r="X96" s="136"/>
    </row>
    <row r="97" spans="2:24" s="131" customFormat="1" x14ac:dyDescent="0.25">
      <c r="C97" s="145"/>
      <c r="E97" s="131" t="str">
        <f>'TL³ RS232 Konfig-Übersicht'!B17</f>
        <v>AC³ Linsenkopfschraube M3x8, Torx  (2 Stück je Provertha)</v>
      </c>
      <c r="L97" s="141" t="str">
        <f>IFERROR(IF(INDEX('TL³ RS232 Konfig-Übersicht'!A:A,MATCH(E97,'TL³ RS232 Konfig-Übersicht'!B:B,0))=0,"",INDEX('TL³ RS232 Konfig-Übersicht'!A:A,MATCH(E97,'TL³ RS232 Konfig-Übersicht'!B:B,0))),"")</f>
        <v>7000138M</v>
      </c>
      <c r="M97" s="140"/>
      <c r="N97" s="141">
        <f>HLOOKUP($L$82,'TL³ RS232 Konfig-Übersicht'!$C$5:$AA$18,13,FALSE)</f>
        <v>0</v>
      </c>
      <c r="O97" s="144"/>
      <c r="P97" s="371">
        <f>IFERROR(VLOOKUP(L97,'EBM00256'!$B:$F,4,),)</f>
        <v>0</v>
      </c>
      <c r="U97" s="84">
        <f t="shared" si="2"/>
        <v>0</v>
      </c>
      <c r="V97" s="148"/>
      <c r="X97" s="136"/>
    </row>
    <row r="98" spans="2:24" s="131" customFormat="1" x14ac:dyDescent="0.25">
      <c r="C98" s="145"/>
      <c r="E98" s="131" t="e">
        <f>'TL³ RS232 Konfig-Übersicht'!B18</f>
        <v>#REF!</v>
      </c>
      <c r="L98" s="141" t="str">
        <f>IFERROR(IF(INDEX('TL³ RS232 Konfig-Übersicht'!A:A,MATCH(E98,'TL³ RS232 Konfig-Übersicht'!B:B,0))=0,"",INDEX('TL³ RS232 Konfig-Übersicht'!A:A,MATCH(E98,'TL³ RS232 Konfig-Übersicht'!B:B,0))),"")</f>
        <v/>
      </c>
      <c r="M98" s="140"/>
      <c r="N98" s="141">
        <f>HLOOKUP($L$82,'TL³ RS232 Konfig-Übersicht'!$C$5:$AA$18,14,FALSE)</f>
        <v>0</v>
      </c>
      <c r="O98" s="144"/>
      <c r="P98" s="371">
        <f>IFERROR(VLOOKUP(L98,'EBM00256'!$B:$F,4,),)</f>
        <v>0</v>
      </c>
      <c r="U98" s="84">
        <f t="shared" si="2"/>
        <v>0</v>
      </c>
      <c r="V98" s="148"/>
      <c r="X98" s="136"/>
    </row>
    <row r="99" spans="2:24" s="131" customFormat="1" ht="6" customHeight="1" x14ac:dyDescent="0.25">
      <c r="C99" s="145"/>
      <c r="L99" s="173"/>
      <c r="M99" s="144"/>
      <c r="N99" s="173"/>
      <c r="O99" s="144"/>
      <c r="P99" s="371"/>
      <c r="U99" s="84">
        <f t="shared" si="2"/>
        <v>0</v>
      </c>
      <c r="V99" s="148"/>
      <c r="X99" s="136"/>
    </row>
    <row r="100" spans="2:24" s="131" customFormat="1" x14ac:dyDescent="0.25">
      <c r="C100" s="145" t="s">
        <v>536</v>
      </c>
      <c r="E100" s="387" t="s">
        <v>256</v>
      </c>
      <c r="F100" s="388"/>
      <c r="G100" s="388"/>
      <c r="H100" s="388"/>
      <c r="I100" s="389"/>
      <c r="L100" s="173"/>
      <c r="M100" s="144"/>
      <c r="N100" s="173"/>
      <c r="O100" s="144" t="str">
        <f>IFERROR(VLOOKUP(L100,#REF!,4,FALSE),"")</f>
        <v/>
      </c>
      <c r="P100" s="371"/>
      <c r="U100" s="84">
        <f t="shared" si="2"/>
        <v>0</v>
      </c>
      <c r="V100" s="148"/>
      <c r="X100" s="136"/>
    </row>
    <row r="101" spans="2:24" s="131" customFormat="1" x14ac:dyDescent="0.25">
      <c r="C101" s="128" t="s">
        <v>537</v>
      </c>
      <c r="E101" s="131" t="str">
        <f>IF(E100="Nein",'EBM00256'!C174,"")</f>
        <v/>
      </c>
      <c r="L101" s="173" t="str">
        <f>IFERROR(IF(INDEX('EBM00256'!B:B,MATCH(E101,'EBM00256'!C:C,0))=0,"",INDEX('EBM00256'!B:B,MATCH(E101,'EBM00256'!C:C,0))),"")</f>
        <v/>
      </c>
      <c r="M101" s="144"/>
      <c r="N101" s="141">
        <f>IF(E100="Nein",1,0)</f>
        <v>0</v>
      </c>
      <c r="O101" s="144" t="str">
        <f>IFERROR(VLOOKUP(L101,#REF!,4,FALSE),"")</f>
        <v/>
      </c>
      <c r="P101" s="371">
        <f>IFERROR(VLOOKUP(L101,'EBM00256'!$B:$F,4,),)</f>
        <v>0</v>
      </c>
      <c r="U101" s="84">
        <f t="shared" si="2"/>
        <v>0</v>
      </c>
      <c r="V101" s="148"/>
      <c r="X101" s="136"/>
    </row>
    <row r="102" spans="2:24" s="131" customFormat="1" x14ac:dyDescent="0.25">
      <c r="C102" s="145"/>
      <c r="L102" s="173"/>
      <c r="M102" s="144"/>
      <c r="N102" s="141"/>
      <c r="O102" s="144" t="str">
        <f>IFERROR(VLOOKUP(L102,#REF!,4,FALSE),"")</f>
        <v/>
      </c>
      <c r="P102" s="371"/>
      <c r="U102" s="84">
        <f t="shared" si="2"/>
        <v>0</v>
      </c>
      <c r="V102" s="148"/>
      <c r="X102" s="136"/>
    </row>
    <row r="103" spans="2:24" s="131" customFormat="1" x14ac:dyDescent="0.25">
      <c r="C103" s="145" t="s">
        <v>538</v>
      </c>
      <c r="E103" s="387" t="s">
        <v>251</v>
      </c>
      <c r="F103" s="388"/>
      <c r="G103" s="388"/>
      <c r="H103" s="388"/>
      <c r="I103" s="389"/>
      <c r="J103" s="147">
        <f>VLOOKUP(E103,'EBM00256'!C:K,9,FALSE)</f>
        <v>10</v>
      </c>
      <c r="K103" s="175"/>
      <c r="L103" s="173">
        <f>IFERROR(IF(INDEX('EBM00256'!B:B,MATCH(E103,'EBM00256'!C:C,0))=0,"",INDEX('EBM00256'!B:B,MATCH(E103,'EBM00256'!C:C,0))),"")</f>
        <v>9990544</v>
      </c>
      <c r="M103" s="147"/>
      <c r="N103" s="141">
        <f>VLOOKUP(L103,'EBM00256'!B:F,3,FALSE)</f>
        <v>1</v>
      </c>
      <c r="O103" s="144"/>
      <c r="P103" s="371">
        <f>IFERROR(VLOOKUP(L103,'EBM00256'!$B:$F,4,),)</f>
        <v>0</v>
      </c>
      <c r="R103" s="134"/>
      <c r="S103" s="7"/>
      <c r="U103" s="84">
        <f t="shared" si="2"/>
        <v>0</v>
      </c>
      <c r="V103" s="148"/>
      <c r="X103" s="136"/>
    </row>
    <row r="104" spans="2:24" s="131" customFormat="1" ht="6" customHeight="1" x14ac:dyDescent="0.25">
      <c r="C104" s="145"/>
      <c r="L104" s="173"/>
      <c r="M104" s="144"/>
      <c r="N104" s="173"/>
      <c r="O104" s="144"/>
      <c r="P104" s="371"/>
      <c r="U104" s="84">
        <f t="shared" si="2"/>
        <v>0</v>
      </c>
      <c r="V104" s="148"/>
      <c r="X104" s="136"/>
    </row>
    <row r="105" spans="2:24" s="131" customFormat="1" x14ac:dyDescent="0.25">
      <c r="C105" s="145"/>
      <c r="E105" s="131" t="str">
        <f>VLOOKUP(J105,'EBM00256'!A:C,3,FALSE)</f>
        <v>BIOS TL³ WIN10 Version R1.20 D3433-S2</v>
      </c>
      <c r="J105" s="131" t="str">
        <f>IF(OR(L103=9990415,L103=9990410,L103=9990411,L103=9990416),VLOOKUP("BIOS_7",'EBM00256'!A:A,1,FALSE),IF(L103="4100016M",VLOOKUP("BIOS_IGEL",'EBM00256'!A:A,1,FALSE),"BIOS_10"))</f>
        <v>BIOS_10</v>
      </c>
      <c r="K105" s="144" t="s">
        <v>714</v>
      </c>
      <c r="L105" s="173" t="str">
        <f>IFERROR(IF(INDEX('EBM00256'!B:B,MATCH(E105,'EBM00256'!C:C,0))=0,"",INDEX('EBM00256'!B:B,MATCH(E105,'EBM00256'!C:C,0))),"")</f>
        <v>8120069M</v>
      </c>
      <c r="M105" s="144"/>
      <c r="N105" s="141">
        <f>IFERROR(VLOOKUP(L105,'EBM00256'!B:F,3,FALSE),)</f>
        <v>1</v>
      </c>
      <c r="O105" s="144"/>
      <c r="P105" s="371">
        <f>IFERROR(VLOOKUP(L105,'EBM00256'!$B:$F,4,),)</f>
        <v>0</v>
      </c>
      <c r="R105" s="134"/>
      <c r="S105" s="7"/>
      <c r="U105" s="84">
        <f t="shared" si="2"/>
        <v>0</v>
      </c>
      <c r="V105" s="148"/>
      <c r="X105" s="136"/>
    </row>
    <row r="106" spans="2:24" s="131" customFormat="1" x14ac:dyDescent="0.25">
      <c r="C106" s="145"/>
      <c r="E106" s="131" t="str">
        <f>IF(AND(L103&lt;&gt;"4100016M",L103&lt;&gt;"4100017M"),VLOOKUP(J103,'EBM00256'!A:C,3,FALSE),"")</f>
        <v>T MS Windows 10 Pro. Liz. OA3.0 OEM</v>
      </c>
      <c r="L106" s="173">
        <f>IFERROR(IF(INDEX('EBM00256'!B:B,MATCH(E106,'EBM00256'!C:C,0))=0,"",INDEX('EBM00256'!B:B,MATCH(E106,'EBM00256'!C:C,0))),"")</f>
        <v>6506327</v>
      </c>
      <c r="M106" s="144"/>
      <c r="N106" s="141">
        <f>IFERROR(VLOOKUP(L106,'EBM00256'!B:F,3,FALSE),)</f>
        <v>1</v>
      </c>
      <c r="O106" s="144"/>
      <c r="P106" s="371">
        <f>IFERROR(VLOOKUP(L106,'EBM00256'!$B:$F,4,),)</f>
        <v>123.45679012345678</v>
      </c>
      <c r="R106" s="134"/>
      <c r="S106" s="7"/>
      <c r="U106" s="84">
        <f t="shared" si="2"/>
        <v>123.45679012345678</v>
      </c>
      <c r="V106" s="148"/>
      <c r="X106" s="136"/>
    </row>
    <row r="107" spans="2:24" s="131" customFormat="1" ht="4.5" customHeight="1" x14ac:dyDescent="0.25">
      <c r="C107" s="145"/>
      <c r="E107" s="145"/>
      <c r="F107" s="145"/>
      <c r="G107" s="145"/>
      <c r="H107" s="145"/>
      <c r="I107" s="145"/>
      <c r="L107" s="173"/>
      <c r="M107" s="147"/>
      <c r="N107" s="173"/>
      <c r="O107" s="144"/>
      <c r="P107" s="371"/>
      <c r="R107" s="134"/>
      <c r="S107" s="7"/>
      <c r="U107" s="84">
        <f t="shared" si="2"/>
        <v>0</v>
      </c>
      <c r="V107" s="148"/>
      <c r="X107" s="136"/>
    </row>
    <row r="108" spans="2:24" x14ac:dyDescent="0.25">
      <c r="B108" s="135" t="s">
        <v>539</v>
      </c>
      <c r="C108" s="133"/>
      <c r="U108" s="84">
        <f t="shared" si="2"/>
        <v>0</v>
      </c>
    </row>
    <row r="109" spans="2:24" x14ac:dyDescent="0.25">
      <c r="B109" s="153" t="s">
        <v>540</v>
      </c>
      <c r="C109" s="133"/>
      <c r="U109" s="84">
        <f t="shared" si="2"/>
        <v>0</v>
      </c>
    </row>
    <row r="110" spans="2:24" x14ac:dyDescent="0.25">
      <c r="C110" s="133"/>
      <c r="E110" s="142" t="str">
        <f>VLOOKUP(L110,'EBM00256'!B:C,2,FALSE)</f>
        <v>Herstellanweisung MCD Medical Line TL³</v>
      </c>
      <c r="F110" s="142"/>
      <c r="G110" s="142"/>
      <c r="H110" s="142"/>
      <c r="I110" s="142"/>
      <c r="J110" s="142"/>
      <c r="K110" s="142"/>
      <c r="L110" s="117" t="str">
        <f>'EBM00256'!B31</f>
        <v>PMI00191_C</v>
      </c>
      <c r="N110" s="141" t="str">
        <f>'EBM00256'!D31</f>
        <v>---</v>
      </c>
      <c r="P110" s="373"/>
      <c r="Q110" s="130"/>
      <c r="R110" s="130"/>
      <c r="S110" s="130"/>
      <c r="U110" s="84"/>
    </row>
    <row r="111" spans="2:24" x14ac:dyDescent="0.25">
      <c r="C111" s="133"/>
      <c r="E111" s="142" t="str">
        <f>VLOOKUP(L111,'EBM00256'!B:C,2,FALSE)</f>
        <v>Prüfanweisung MCD Medical Line TL³</v>
      </c>
      <c r="F111" s="142"/>
      <c r="G111" s="142"/>
      <c r="H111" s="142"/>
      <c r="I111" s="142"/>
      <c r="J111" s="142"/>
      <c r="K111" s="142"/>
      <c r="L111" s="117" t="str">
        <f>'EBM00256'!B32</f>
        <v>PTI00208_C</v>
      </c>
      <c r="N111" s="141" t="str">
        <f>'EBM00256'!D32</f>
        <v>---</v>
      </c>
      <c r="P111" s="373"/>
      <c r="Q111" s="130"/>
      <c r="R111" s="130"/>
      <c r="S111" s="130"/>
      <c r="U111" s="84"/>
    </row>
    <row r="112" spans="2:24" x14ac:dyDescent="0.25">
      <c r="C112" s="133"/>
      <c r="E112" s="142" t="str">
        <f>VLOOKUP(L112,'EBM00256'!B:C,2,FALSE)</f>
        <v>Verpackungsanweisung THA.leia³</v>
      </c>
      <c r="F112" s="142"/>
      <c r="G112" s="142"/>
      <c r="H112" s="142"/>
      <c r="I112" s="142"/>
      <c r="J112" s="142"/>
      <c r="K112" s="142"/>
      <c r="L112" s="117" t="str">
        <f>'EBM00256'!B33</f>
        <v>PPI00205_C</v>
      </c>
      <c r="N112" s="141" t="str">
        <f>'EBM00256'!D33</f>
        <v>---</v>
      </c>
      <c r="P112" s="373"/>
      <c r="Q112" s="130"/>
      <c r="R112" s="130"/>
      <c r="S112" s="130"/>
      <c r="U112" s="84"/>
    </row>
    <row r="113" spans="1:22" x14ac:dyDescent="0.25">
      <c r="C113" s="133"/>
      <c r="E113" s="142" t="str">
        <f>VLOOKUP(L113,'EBM00256'!B:C,2,FALSE)</f>
        <v>DHR MCD THA.leia³</v>
      </c>
      <c r="F113" s="142"/>
      <c r="G113" s="142"/>
      <c r="H113" s="142"/>
      <c r="I113" s="142"/>
      <c r="J113" s="142"/>
      <c r="K113" s="142"/>
      <c r="L113" s="117" t="str">
        <f>'EBM00256'!B34</f>
        <v>PTR00302_C</v>
      </c>
      <c r="N113" s="141">
        <f>'EBM00256'!D34</f>
        <v>1</v>
      </c>
      <c r="P113" s="373"/>
      <c r="Q113" s="130"/>
      <c r="R113" s="130"/>
      <c r="S113" s="130"/>
      <c r="U113" s="84">
        <f>N113*P113</f>
        <v>0</v>
      </c>
    </row>
    <row r="114" spans="1:22" x14ac:dyDescent="0.25">
      <c r="C114" s="133"/>
      <c r="E114" s="142" t="str">
        <f>VLOOKUP(L114,'EBM00256'!B:C,2,FALSE)</f>
        <v>Ratinglabel MCD THA.leia³</v>
      </c>
      <c r="F114" s="142"/>
      <c r="G114" s="142"/>
      <c r="H114" s="142"/>
      <c r="I114" s="142"/>
      <c r="J114" s="142"/>
      <c r="K114" s="142"/>
      <c r="L114" s="117" t="str">
        <f>'EBM00256'!B35</f>
        <v>BB17-0022_A</v>
      </c>
      <c r="N114" s="141">
        <f>'EBM00256'!D35</f>
        <v>2</v>
      </c>
      <c r="P114" s="373"/>
      <c r="Q114" s="130"/>
      <c r="R114" s="130"/>
      <c r="S114" s="130"/>
      <c r="U114" s="84">
        <f>N114*P114</f>
        <v>0</v>
      </c>
    </row>
    <row r="115" spans="1:22" x14ac:dyDescent="0.25">
      <c r="C115" s="133"/>
      <c r="E115" s="142" t="str">
        <f>VLOOKUP(L115,'EBM00256'!B:C,2,FALSE)</f>
        <v>Lager- / Transportlabel MCD TL³ / OV²</v>
      </c>
      <c r="F115" s="142"/>
      <c r="G115" s="142"/>
      <c r="H115" s="142"/>
      <c r="I115" s="142"/>
      <c r="J115" s="142"/>
      <c r="K115" s="142"/>
      <c r="L115" s="117" t="str">
        <f>'EBM00256'!B36</f>
        <v>BB16-0001_A</v>
      </c>
      <c r="N115" s="141">
        <f>'EBM00256'!D36</f>
        <v>1</v>
      </c>
      <c r="P115" s="373"/>
      <c r="Q115" s="130"/>
      <c r="R115" s="130"/>
      <c r="S115" s="130"/>
      <c r="U115" s="84">
        <f>N115*P115</f>
        <v>0</v>
      </c>
    </row>
    <row r="116" spans="1:22" ht="5.25" customHeight="1" x14ac:dyDescent="0.25">
      <c r="C116" s="133"/>
      <c r="E116" s="142"/>
      <c r="F116" s="142"/>
      <c r="G116" s="142"/>
      <c r="H116" s="142"/>
      <c r="I116" s="142"/>
      <c r="J116" s="142"/>
      <c r="K116" s="142"/>
      <c r="L116" s="34"/>
      <c r="N116" s="142"/>
      <c r="U116" s="84">
        <f>N116*P116</f>
        <v>0</v>
      </c>
    </row>
    <row r="117" spans="1:22" ht="20.25" x14ac:dyDescent="0.25">
      <c r="B117" s="129" t="s">
        <v>541</v>
      </c>
      <c r="C117" s="133"/>
      <c r="P117" s="374"/>
      <c r="Q117" s="130"/>
      <c r="R117" s="130"/>
      <c r="S117" s="130"/>
      <c r="U117" s="84">
        <f>N117*P117</f>
        <v>0</v>
      </c>
    </row>
    <row r="118" spans="1:22" ht="5.25" customHeight="1" x14ac:dyDescent="0.25">
      <c r="C118" s="133"/>
      <c r="T118" s="84" t="e">
        <f>SUM(T9:T116)</f>
        <v>#VALUE!</v>
      </c>
      <c r="U118" s="84">
        <f>SUM(U9:U116)</f>
        <v>1711.0714444444438</v>
      </c>
      <c r="V118" s="84"/>
    </row>
    <row r="119" spans="1:22" x14ac:dyDescent="0.25">
      <c r="C119" s="132" t="s">
        <v>542</v>
      </c>
      <c r="E119" s="387" t="s">
        <v>79</v>
      </c>
      <c r="F119" s="388"/>
      <c r="G119" s="388"/>
      <c r="H119" s="388"/>
      <c r="I119" s="389"/>
      <c r="J119" s="172"/>
      <c r="K119" s="175"/>
      <c r="L119" s="173">
        <f>IFERROR(IF(INDEX('EBM00256'!B:B,MATCH(E119,'EBM00256'!C:C,0))=0,"",INDEX('EBM00256'!B:B,MATCH(E119,'EBM00256'!C:C,0))),"")</f>
        <v>136</v>
      </c>
      <c r="M119" s="147"/>
      <c r="N119" s="141">
        <f>VLOOKUP(L119,'EBM00256'!B:F,3,FALSE)</f>
        <v>1</v>
      </c>
      <c r="R119" s="130"/>
      <c r="S119" s="50">
        <f>VLOOKUP(L119,'EBM00256'!B:E,4,FALSE)</f>
        <v>0</v>
      </c>
      <c r="T119" s="35"/>
      <c r="U119" s="35">
        <f>U118*S119</f>
        <v>0</v>
      </c>
      <c r="V119" s="125"/>
    </row>
    <row r="120" spans="1:22" ht="5.25" customHeight="1" x14ac:dyDescent="0.25">
      <c r="C120" s="133"/>
    </row>
    <row r="121" spans="1:22" ht="28.5" customHeight="1" x14ac:dyDescent="0.25">
      <c r="A121" s="36"/>
      <c r="B121" s="36"/>
      <c r="C121" s="37"/>
      <c r="D121" s="36"/>
      <c r="E121" s="36"/>
      <c r="F121" s="36"/>
      <c r="G121" s="36"/>
      <c r="H121" s="36"/>
      <c r="I121" s="36"/>
      <c r="J121" s="36"/>
      <c r="K121" s="36"/>
      <c r="L121" s="38"/>
      <c r="M121" s="102"/>
      <c r="O121" s="102"/>
      <c r="P121" s="375" t="s">
        <v>16</v>
      </c>
      <c r="Q121" s="68"/>
      <c r="R121" s="68"/>
      <c r="S121" s="68"/>
      <c r="T121" s="69" t="e">
        <f t="shared" ref="T121:U121" si="3">SUM(T118:T119)</f>
        <v>#VALUE!</v>
      </c>
      <c r="U121" s="122">
        <f t="shared" si="3"/>
        <v>1711.0714444444438</v>
      </c>
      <c r="V121" s="69"/>
    </row>
    <row r="122" spans="1:22" ht="3.75" customHeight="1" x14ac:dyDescent="0.25">
      <c r="C122" s="171"/>
      <c r="D122" s="171"/>
      <c r="E122" s="171"/>
      <c r="F122" s="171"/>
      <c r="G122" s="171"/>
      <c r="H122" s="171"/>
      <c r="N122" s="49"/>
      <c r="P122" s="375"/>
      <c r="R122" s="127"/>
      <c r="S122" s="127"/>
    </row>
    <row r="123" spans="1:22" ht="15" customHeight="1" x14ac:dyDescent="0.25">
      <c r="B123" s="390"/>
      <c r="C123" s="390"/>
      <c r="D123" s="390"/>
      <c r="E123" s="390"/>
      <c r="F123" s="390"/>
      <c r="G123" s="390"/>
      <c r="H123" s="390"/>
      <c r="I123" s="390"/>
      <c r="J123" s="390"/>
      <c r="K123" s="390"/>
      <c r="L123" s="390"/>
      <c r="M123" s="390"/>
      <c r="N123" s="390"/>
      <c r="O123" s="390"/>
      <c r="P123" s="390"/>
      <c r="Q123" s="390"/>
      <c r="R123" s="390"/>
      <c r="S123" s="390"/>
      <c r="U123" s="152" t="s">
        <v>545</v>
      </c>
    </row>
    <row r="124" spans="1:22" ht="53.65" customHeight="1" x14ac:dyDescent="0.25">
      <c r="B124" s="390" t="str">
        <f>IF(AND(OR(N82&gt;2,N83&gt;0,N84&gt;0),N63=1),"Nicht konfigurierbar! Kombination aus seriellen Schnittstellen und Framegrabber muss angepasst werden / not possible! Conflict between RS232 and Frame Grabber!","")</f>
        <v/>
      </c>
      <c r="C124" s="390"/>
      <c r="D124" s="390"/>
      <c r="E124" s="390"/>
      <c r="F124" s="390"/>
      <c r="G124" s="390"/>
      <c r="H124" s="390"/>
      <c r="I124" s="390"/>
      <c r="J124" s="390"/>
      <c r="K124" s="390"/>
      <c r="L124" s="390"/>
      <c r="M124" s="390"/>
      <c r="N124" s="390"/>
      <c r="O124" s="390"/>
      <c r="P124" s="390"/>
      <c r="Q124" s="390"/>
      <c r="R124" s="390"/>
      <c r="S124" s="390"/>
    </row>
    <row r="125" spans="1:22" x14ac:dyDescent="0.25">
      <c r="B125" s="390" t="str">
        <f>IF(AND(OR(L51='EBM00256'!B95,L51='EBM00256'!B96,L51='EBM00256'!B97),L53&lt;&gt;"---"),"Nicht konfigurierbar! Auswahl an Datenspeichern muss angepasst werden! / not possible! Change selecetion of data storage!","")</f>
        <v/>
      </c>
      <c r="C125" s="390"/>
      <c r="D125" s="390"/>
      <c r="E125" s="390"/>
      <c r="F125" s="390"/>
      <c r="G125" s="390"/>
      <c r="H125" s="390"/>
      <c r="I125" s="390"/>
      <c r="J125" s="390"/>
      <c r="K125" s="390"/>
      <c r="L125" s="390"/>
      <c r="M125" s="390"/>
      <c r="N125" s="390"/>
      <c r="O125" s="390"/>
      <c r="P125" s="390"/>
      <c r="Q125" s="390"/>
      <c r="R125" s="390"/>
      <c r="S125" s="390"/>
    </row>
    <row r="126" spans="1:22" x14ac:dyDescent="0.25">
      <c r="B126" s="391" t="str">
        <f>IF(AND(OR(L50='EBM00256'!B95,L50='EBM00256'!B96,L53='EBM00256'!B95,L53='EBM00256'!B96),OR(L103='EBM00256'!B178)),"Konfiguration nicht möglich! Kombination aus Datenträger und OS ändern! / Not possible! Change combination of data storage and OS!","")</f>
        <v/>
      </c>
      <c r="C126" s="391"/>
      <c r="D126" s="391"/>
      <c r="E126" s="391"/>
      <c r="F126" s="391"/>
      <c r="G126" s="391"/>
      <c r="H126" s="391"/>
      <c r="I126" s="391"/>
      <c r="J126" s="391"/>
      <c r="K126" s="391"/>
      <c r="L126" s="391"/>
      <c r="M126" s="391"/>
      <c r="N126" s="391"/>
      <c r="O126" s="391"/>
      <c r="P126" s="391"/>
      <c r="Q126" s="391"/>
      <c r="R126" s="391"/>
      <c r="S126" s="391"/>
    </row>
    <row r="127" spans="1:22" x14ac:dyDescent="0.25">
      <c r="B127" s="390" t="str">
        <f>IF(AND(OR(N82&gt;1,N84&gt;0),E70&lt;&gt;"---"),"Nicht konfigurierbar! Wifi oder RS232 abwählen / not possible! Un-select WIFI or RS232!","")</f>
        <v/>
      </c>
      <c r="C127" s="390"/>
      <c r="D127" s="390"/>
      <c r="E127" s="390"/>
      <c r="F127" s="390"/>
      <c r="G127" s="390"/>
      <c r="H127" s="390"/>
      <c r="I127" s="390"/>
      <c r="J127" s="390"/>
      <c r="K127" s="390"/>
      <c r="L127" s="390"/>
      <c r="M127" s="390"/>
      <c r="N127" s="390"/>
      <c r="O127" s="390"/>
      <c r="P127" s="390"/>
      <c r="Q127" s="390"/>
      <c r="R127" s="390"/>
      <c r="S127" s="390"/>
    </row>
    <row r="128" spans="1:22" x14ac:dyDescent="0.25">
      <c r="B128" s="390"/>
      <c r="C128" s="390"/>
      <c r="D128" s="390"/>
      <c r="E128" s="390"/>
      <c r="F128" s="390"/>
      <c r="G128" s="390"/>
      <c r="H128" s="390"/>
      <c r="I128" s="390"/>
      <c r="J128" s="390"/>
      <c r="K128" s="390"/>
      <c r="L128" s="390"/>
      <c r="M128" s="390"/>
      <c r="N128" s="390"/>
      <c r="O128" s="390"/>
      <c r="P128" s="390"/>
      <c r="Q128" s="390"/>
      <c r="R128" s="390"/>
      <c r="S128" s="390"/>
    </row>
    <row r="129" spans="1:20" x14ac:dyDescent="0.25">
      <c r="B129" s="390" t="str">
        <f>IF(ISNA(N86),"Nicht konfigurierbar!Kombination aus seriellen Schnittstellen muss angepasst werden! / not possible! Change RS232 configuration","")</f>
        <v/>
      </c>
      <c r="C129" s="390"/>
      <c r="D129" s="390"/>
      <c r="E129" s="390"/>
      <c r="F129" s="390"/>
      <c r="G129" s="390"/>
      <c r="H129" s="390"/>
      <c r="I129" s="390"/>
      <c r="J129" s="390"/>
      <c r="K129" s="390"/>
      <c r="L129" s="390"/>
      <c r="M129" s="390"/>
      <c r="N129" s="390"/>
      <c r="O129" s="390"/>
      <c r="P129" s="390"/>
      <c r="Q129" s="390"/>
      <c r="R129" s="390"/>
      <c r="S129" s="390"/>
    </row>
    <row r="130" spans="1:20" x14ac:dyDescent="0.25">
      <c r="B130" s="390" t="str">
        <f>IF(AND(K50="JA",K53="JA"),"Betriebssystem kann nur auf einem Datenräger installiert werden / OS can only be installed on one drive!","")</f>
        <v/>
      </c>
      <c r="C130" s="390"/>
      <c r="D130" s="390"/>
      <c r="E130" s="390"/>
      <c r="F130" s="390"/>
      <c r="G130" s="390"/>
      <c r="H130" s="390"/>
      <c r="I130" s="390"/>
      <c r="J130" s="390"/>
      <c r="K130" s="390"/>
      <c r="L130" s="390"/>
      <c r="M130" s="390"/>
      <c r="N130" s="390"/>
      <c r="O130" s="390"/>
      <c r="P130" s="390"/>
      <c r="Q130" s="390"/>
      <c r="R130" s="390"/>
      <c r="S130" s="390"/>
    </row>
    <row r="131" spans="1:20" x14ac:dyDescent="0.25">
      <c r="B131" s="390" t="str">
        <f>IF(AND(OR(L103=9990415,L103=9990544,L103="4100016M"),J50="0",J53="0"),"Datenträger für Betriebssstem-Installation auswählen / Choose drive for OS installation !","")</f>
        <v/>
      </c>
      <c r="C131" s="390"/>
      <c r="D131" s="390"/>
      <c r="E131" s="390"/>
      <c r="F131" s="390"/>
      <c r="G131" s="390"/>
      <c r="H131" s="390"/>
      <c r="I131" s="390"/>
      <c r="J131" s="390"/>
      <c r="K131" s="390"/>
      <c r="L131" s="390"/>
      <c r="M131" s="390"/>
      <c r="N131" s="390"/>
      <c r="O131" s="390"/>
      <c r="P131" s="390"/>
      <c r="Q131" s="390"/>
      <c r="R131" s="390"/>
      <c r="S131" s="390"/>
    </row>
    <row r="132" spans="1:20" x14ac:dyDescent="0.25">
      <c r="B132" s="386" t="str">
        <f>IF(MAX(Sonstiges!B8:B23)&gt;0,"Achtung! Freie Kalkulation erstellt","")</f>
        <v/>
      </c>
      <c r="C132" s="386"/>
      <c r="D132" s="386"/>
      <c r="E132" s="386"/>
      <c r="F132" s="386"/>
      <c r="G132" s="386"/>
      <c r="H132" s="386"/>
      <c r="I132" s="386"/>
      <c r="J132" s="386"/>
      <c r="K132" s="386"/>
      <c r="L132" s="386"/>
      <c r="M132" s="386"/>
      <c r="N132" s="386"/>
      <c r="O132" s="386"/>
      <c r="P132" s="386"/>
      <c r="Q132" s="386"/>
      <c r="R132" s="386"/>
      <c r="S132" s="386"/>
    </row>
    <row r="133" spans="1:20" ht="35.1" customHeight="1" x14ac:dyDescent="0.25">
      <c r="B133" s="382" t="s">
        <v>19</v>
      </c>
      <c r="C133" s="382"/>
      <c r="D133" s="383" t="s">
        <v>21</v>
      </c>
      <c r="E133" s="383"/>
      <c r="F133" s="383"/>
      <c r="G133" s="383"/>
      <c r="H133" s="384" t="s">
        <v>22</v>
      </c>
      <c r="I133" s="384"/>
      <c r="J133" s="384"/>
      <c r="K133" s="384"/>
      <c r="L133" s="384"/>
      <c r="M133" s="384"/>
      <c r="N133" s="384"/>
      <c r="O133" s="384"/>
      <c r="P133" s="384" t="s">
        <v>23</v>
      </c>
      <c r="Q133" s="384"/>
      <c r="R133" s="384"/>
      <c r="S133" s="384"/>
    </row>
    <row r="134" spans="1:20" ht="35.1" customHeight="1" x14ac:dyDescent="0.25">
      <c r="B134" s="378" t="s">
        <v>20</v>
      </c>
      <c r="C134" s="378"/>
      <c r="D134" s="385"/>
      <c r="E134" s="385"/>
      <c r="F134" s="385"/>
      <c r="G134" s="385"/>
      <c r="H134" s="380"/>
      <c r="I134" s="380"/>
      <c r="J134" s="380"/>
      <c r="K134" s="380"/>
      <c r="L134" s="380"/>
      <c r="M134" s="380"/>
      <c r="N134" s="380"/>
      <c r="O134" s="380"/>
      <c r="P134" s="381"/>
      <c r="Q134" s="381"/>
      <c r="R134" s="381"/>
      <c r="S134" s="381"/>
    </row>
    <row r="135" spans="1:20" ht="35.1" customHeight="1" x14ac:dyDescent="0.25">
      <c r="B135" s="378" t="s">
        <v>34</v>
      </c>
      <c r="C135" s="378"/>
      <c r="D135" s="379" t="str">
        <f>IF(OR(B123&lt;&gt;"",B124&lt;&gt;"",B125&lt;&gt;"",B126&lt;&gt;"",B127&lt;&gt;"",B128&lt;&gt;"",B129&lt;&gt;""),"nicht möglich","")</f>
        <v/>
      </c>
      <c r="E135" s="379"/>
      <c r="F135" s="379"/>
      <c r="G135" s="379"/>
      <c r="H135" s="380"/>
      <c r="I135" s="380"/>
      <c r="J135" s="380"/>
      <c r="K135" s="380"/>
      <c r="L135" s="380"/>
      <c r="M135" s="380"/>
      <c r="N135" s="380"/>
      <c r="O135" s="380"/>
      <c r="P135" s="381"/>
      <c r="Q135" s="381"/>
      <c r="R135" s="381"/>
      <c r="S135" s="381"/>
    </row>
    <row r="136" spans="1:20" x14ac:dyDescent="0.25">
      <c r="A136" s="148" t="s">
        <v>701</v>
      </c>
      <c r="B136" s="148" t="s">
        <v>689</v>
      </c>
    </row>
    <row r="137" spans="1:20" ht="55.5" customHeight="1" x14ac:dyDescent="0.25">
      <c r="B137" s="127" t="str">
        <f ca="1">MID(CELL("Dateiname",$A$1),FIND("]",CELL("Dateiname",$A$1))+1,31)</f>
        <v>TL³</v>
      </c>
      <c r="D137" s="131"/>
      <c r="Q137" s="18"/>
      <c r="R137" s="137" t="s">
        <v>523</v>
      </c>
      <c r="S137" s="136"/>
      <c r="T137" s="192"/>
    </row>
    <row r="138" spans="1:20" ht="5.25" customHeight="1" x14ac:dyDescent="0.25"/>
  </sheetData>
  <sheetProtection algorithmName="SHA-512" hashValue="TeCw40hEx0owf/w0iw350uEWV6vWPvQ0tt3ThdnTaetGxHX5e4NsIUMdszNYO5JyO2rM9zcnrxSFBGr+yF66Aw==" saltValue="Sluj2c5o/k3/xGTW642SkQ==" spinCount="100000" sheet="1" objects="1" scenarios="1" selectLockedCells="1"/>
  <dataConsolidate/>
  <mergeCells count="45">
    <mergeCell ref="E39:I39"/>
    <mergeCell ref="E49:I49"/>
    <mergeCell ref="E52:I52"/>
    <mergeCell ref="B130:S130"/>
    <mergeCell ref="G2:L2"/>
    <mergeCell ref="B5:S5"/>
    <mergeCell ref="E35:I35"/>
    <mergeCell ref="B36:T36"/>
    <mergeCell ref="E37:I37"/>
    <mergeCell ref="E75:I75"/>
    <mergeCell ref="E40:I40"/>
    <mergeCell ref="E41:I41"/>
    <mergeCell ref="E42:I42"/>
    <mergeCell ref="E43:I43"/>
    <mergeCell ref="E45:I45"/>
    <mergeCell ref="E47:I47"/>
    <mergeCell ref="E50:I50"/>
    <mergeCell ref="E53:I53"/>
    <mergeCell ref="E58:I58"/>
    <mergeCell ref="E63:I63"/>
    <mergeCell ref="E70:I70"/>
    <mergeCell ref="B132:S132"/>
    <mergeCell ref="E100:I100"/>
    <mergeCell ref="E103:I103"/>
    <mergeCell ref="E119:I119"/>
    <mergeCell ref="B123:S123"/>
    <mergeCell ref="B124:S124"/>
    <mergeCell ref="B125:S125"/>
    <mergeCell ref="B126:S126"/>
    <mergeCell ref="B127:S127"/>
    <mergeCell ref="B128:S128"/>
    <mergeCell ref="B129:S129"/>
    <mergeCell ref="B131:S131"/>
    <mergeCell ref="B135:C135"/>
    <mergeCell ref="D135:G135"/>
    <mergeCell ref="H135:O135"/>
    <mergeCell ref="P135:S135"/>
    <mergeCell ref="B133:C133"/>
    <mergeCell ref="D133:G133"/>
    <mergeCell ref="H133:O133"/>
    <mergeCell ref="P133:S133"/>
    <mergeCell ref="B134:C134"/>
    <mergeCell ref="D134:G134"/>
    <mergeCell ref="H134:O134"/>
    <mergeCell ref="P134:S134"/>
  </mergeCells>
  <conditionalFormatting sqref="R137 R44:R48 R37:R38 A62:K62 R32 W62 R17:R29 R14:R15 Y62:XFD62 R10 N109:S109 J54:K54 AA53:XFD61 R6 R71:R72 R79:R95 R104 A54:D61 R74:R76 R63:R64 R106 T10:V10 O114:S115 R66:R69 M54 O54 Q53:T62 A53 M56:M62 J56:K61 R98:R102 U11:U77 O57 O62 U79:U117 T118:V118 Q50:T51">
    <cfRule type="expression" dxfId="949" priority="204">
      <formula>CELL("Schutz",A6)=0</formula>
    </cfRule>
  </conditionalFormatting>
  <conditionalFormatting sqref="N116:S117 O119 Q119:R119 O108:Q108">
    <cfRule type="expression" dxfId="948" priority="203">
      <formula>CELL("Schutz",N108)=0</formula>
    </cfRule>
  </conditionalFormatting>
  <conditionalFormatting sqref="A32:M32 Q32 O32 S107 T14:T16 Y14:XFD16 F14:I16 L103:L104 X103:X104 O64 M63:M64 X106 L106 F31:I31 V14:W16 L10:L31 L111:L115 E111:E115 N110:N115 Y39:XFD43 V39:W43 A39:D43 M66:M69 N69:O69 N67:N68 T9:XFD9 S8:V8 T119:V119 S49:T49 S52:T52">
    <cfRule type="expression" dxfId="947" priority="202">
      <formula>CELL("Schutz",A8)=0</formula>
    </cfRule>
  </conditionalFormatting>
  <conditionalFormatting sqref="W10 T17 Y10:XFD10 V17">
    <cfRule type="expression" dxfId="946" priority="201">
      <formula>CELL("Schutz",T10)=0</formula>
    </cfRule>
  </conditionalFormatting>
  <conditionalFormatting sqref="F17:I17">
    <cfRule type="expression" dxfId="945" priority="200">
      <formula>CELL("Schutz",F17)=0</formula>
    </cfRule>
  </conditionalFormatting>
  <conditionalFormatting sqref="F18:I18">
    <cfRule type="expression" dxfId="944" priority="199">
      <formula>CELL("Schutz",F18)=0</formula>
    </cfRule>
  </conditionalFormatting>
  <conditionalFormatting sqref="F19:I29">
    <cfRule type="expression" dxfId="943" priority="198">
      <formula>CELL("Schutz",F19)=0</formula>
    </cfRule>
  </conditionalFormatting>
  <conditionalFormatting sqref="T7:V7 A8:Q8 D7:K7 W7:XFD8">
    <cfRule type="expression" dxfId="942" priority="197">
      <formula>CELL("Schutz",A7)=0</formula>
    </cfRule>
  </conditionalFormatting>
  <conditionalFormatting sqref="R8">
    <cfRule type="expression" dxfId="941" priority="196">
      <formula>CELL("Schutz",R8)=0</formula>
    </cfRule>
  </conditionalFormatting>
  <conditionalFormatting sqref="R7">
    <cfRule type="expression" dxfId="940" priority="194">
      <formula>CELL("Schutz",R7)=0</formula>
    </cfRule>
  </conditionalFormatting>
  <conditionalFormatting sqref="S7 L7:M7 P7:Q7">
    <cfRule type="expression" dxfId="939" priority="195">
      <formula>CELL("Schutz",L7)=0</formula>
    </cfRule>
  </conditionalFormatting>
  <conditionalFormatting sqref="C47:C48">
    <cfRule type="expression" dxfId="938" priority="193">
      <formula>CELL("Schutz",C47)=0</formula>
    </cfRule>
  </conditionalFormatting>
  <conditionalFormatting sqref="T39:T43">
    <cfRule type="expression" dxfId="937" priority="192">
      <formula>CELL("Schutz",T39)=0</formula>
    </cfRule>
  </conditionalFormatting>
  <conditionalFormatting sqref="Q39:Q43 J39:K42 S39:S43 J43">
    <cfRule type="expression" dxfId="936" priority="191">
      <formula>CELL("Schutz",J39)=0</formula>
    </cfRule>
  </conditionalFormatting>
  <conditionalFormatting sqref="R39:R43">
    <cfRule type="expression" dxfId="935" priority="190">
      <formula>CELL("Schutz",R39)=0</formula>
    </cfRule>
  </conditionalFormatting>
  <conditionalFormatting sqref="M37 O37">
    <cfRule type="expression" dxfId="934" priority="189">
      <formula>CELL("Schutz",M37)=0</formula>
    </cfRule>
  </conditionalFormatting>
  <conditionalFormatting sqref="L37">
    <cfRule type="expression" dxfId="933" priority="188">
      <formula>CELL("Schutz",L37)=0</formula>
    </cfRule>
  </conditionalFormatting>
  <conditionalFormatting sqref="O39:O43 M39:M43">
    <cfRule type="expression" dxfId="932" priority="187">
      <formula>CELL("Schutz",M39)=0</formula>
    </cfRule>
  </conditionalFormatting>
  <conditionalFormatting sqref="L39:L43">
    <cfRule type="expression" dxfId="931" priority="186">
      <formula>CELL("Schutz",L39)=0</formula>
    </cfRule>
  </conditionalFormatting>
  <conditionalFormatting sqref="M70:N70">
    <cfRule type="expression" dxfId="930" priority="185">
      <formula>CELL("Schutz",M70)=0</formula>
    </cfRule>
  </conditionalFormatting>
  <conditionalFormatting sqref="M31">
    <cfRule type="expression" dxfId="929" priority="184">
      <formula>CELL("Schutz",M31)=0</formula>
    </cfRule>
  </conditionalFormatting>
  <conditionalFormatting sqref="W34:W36 M33 AA33:XFD33 A33:D33 J33:K33 Y34:XFD36 Q33 S33:T35 O33 V33">
    <cfRule type="expression" dxfId="928" priority="183">
      <formula>CELL("Schutz",A33)=0</formula>
    </cfRule>
  </conditionalFormatting>
  <conditionalFormatting sqref="R33:R35">
    <cfRule type="expression" dxfId="927" priority="182">
      <formula>CELL("Schutz",R33)=0</formula>
    </cfRule>
  </conditionalFormatting>
  <conditionalFormatting sqref="A34:M34 Q34:Q35 O34:O35 A35:B36 D35 J35:K35 M35">
    <cfRule type="expression" dxfId="926" priority="181">
      <formula>CELL("Schutz",A34)=0</formula>
    </cfRule>
  </conditionalFormatting>
  <conditionalFormatting sqref="L45">
    <cfRule type="expression" dxfId="925" priority="180">
      <formula>CELL("Schutz",L45)=0</formula>
    </cfRule>
  </conditionalFormatting>
  <conditionalFormatting sqref="Q31 S31">
    <cfRule type="expression" dxfId="924" priority="179">
      <formula>CELL("Schutz",Q31)=0</formula>
    </cfRule>
  </conditionalFormatting>
  <conditionalFormatting sqref="R31">
    <cfRule type="expression" dxfId="923" priority="178">
      <formula>CELL("Schutz",R31)=0</formula>
    </cfRule>
  </conditionalFormatting>
  <conditionalFormatting sqref="O31">
    <cfRule type="expression" dxfId="922" priority="177">
      <formula>CELL("Schutz",O31)=0</formula>
    </cfRule>
  </conditionalFormatting>
  <conditionalFormatting sqref="A9:O9 S9 Q9">
    <cfRule type="expression" dxfId="921" priority="176">
      <formula>CELL("Schutz",A9)=0</formula>
    </cfRule>
  </conditionalFormatting>
  <conditionalFormatting sqref="R9">
    <cfRule type="expression" dxfId="920" priority="175">
      <formula>CELL("Schutz",R9)=0</formula>
    </cfRule>
  </conditionalFormatting>
  <conditionalFormatting sqref="M107">
    <cfRule type="expression" dxfId="919" priority="174">
      <formula>CELL("Schutz",M107)=0</formula>
    </cfRule>
  </conditionalFormatting>
  <conditionalFormatting sqref="L107">
    <cfRule type="expression" dxfId="918" priority="173">
      <formula>CELL("Schutz",L107)=0</formula>
    </cfRule>
  </conditionalFormatting>
  <conditionalFormatting sqref="B5:S5">
    <cfRule type="expression" dxfId="917" priority="172">
      <formula>CELL("Schutz",B5)=0</formula>
    </cfRule>
  </conditionalFormatting>
  <conditionalFormatting sqref="R62">
    <cfRule type="expression" dxfId="916" priority="205">
      <formula>CELL("Schutz",#REF!)=0</formula>
    </cfRule>
  </conditionalFormatting>
  <conditionalFormatting sqref="S16 M16 Q16 O16">
    <cfRule type="expression" dxfId="915" priority="171">
      <formula>CELL("Schutz",M16)=0</formula>
    </cfRule>
  </conditionalFormatting>
  <conditionalFormatting sqref="R16">
    <cfRule type="expression" dxfId="914" priority="170">
      <formula>CELL("Schutz",R16)=0</formula>
    </cfRule>
  </conditionalFormatting>
  <conditionalFormatting sqref="A103:D103 J103:K103 Y103:XFD103 T103 V103:W103">
    <cfRule type="expression" dxfId="913" priority="167">
      <formula>CELL("Schutz",A103)=0</formula>
    </cfRule>
  </conditionalFormatting>
  <conditionalFormatting sqref="M103">
    <cfRule type="expression" dxfId="912" priority="166">
      <formula>CELL("Schutz",M103)=0</formula>
    </cfRule>
  </conditionalFormatting>
  <conditionalFormatting sqref="N107">
    <cfRule type="expression" dxfId="911" priority="161">
      <formula>CELL("Schutz",N107)=0</formula>
    </cfRule>
  </conditionalFormatting>
  <conditionalFormatting sqref="Q107">
    <cfRule type="expression" dxfId="910" priority="160">
      <formula>CELL("Schutz",Q107)=0</formula>
    </cfRule>
  </conditionalFormatting>
  <conditionalFormatting sqref="R107">
    <cfRule type="expression" dxfId="909" priority="159">
      <formula>CELL("Schutz",R107)=0</formula>
    </cfRule>
  </conditionalFormatting>
  <conditionalFormatting sqref="P107">
    <cfRule type="expression" dxfId="908" priority="158">
      <formula>CELL("Schutz",P107)=0</formula>
    </cfRule>
  </conditionalFormatting>
  <conditionalFormatting sqref="O103">
    <cfRule type="expression" dxfId="907" priority="165">
      <formula>CELL("Schutz",O103)=0</formula>
    </cfRule>
  </conditionalFormatting>
  <conditionalFormatting sqref="S103 Q103">
    <cfRule type="expression" dxfId="906" priority="164">
      <formula>CELL("Schutz",Q103)=0</formula>
    </cfRule>
  </conditionalFormatting>
  <conditionalFormatting sqref="R103">
    <cfRule type="expression" dxfId="905" priority="163">
      <formula>CELL("Schutz",R103)=0</formula>
    </cfRule>
  </conditionalFormatting>
  <conditionalFormatting sqref="O107">
    <cfRule type="expression" dxfId="904" priority="162">
      <formula>CELL("Schutz",O107)=0</formula>
    </cfRule>
  </conditionalFormatting>
  <conditionalFormatting sqref="E54:I54 F59:I61 E56:I57">
    <cfRule type="expression" dxfId="903" priority="157">
      <formula>CELL("Schutz",E54)=0</formula>
    </cfRule>
  </conditionalFormatting>
  <conditionalFormatting sqref="T112:T113 A112:D113 F112:K112 M112:M113 V112:XFD113">
    <cfRule type="expression" dxfId="902" priority="156">
      <formula>CELL("Schutz",A112)=0</formula>
    </cfRule>
  </conditionalFormatting>
  <conditionalFormatting sqref="O112:S113">
    <cfRule type="expression" dxfId="901" priority="155">
      <formula>CELL("Schutz",O112)=0</formula>
    </cfRule>
  </conditionalFormatting>
  <conditionalFormatting sqref="T111 A111:D111 F111:K111 M111 V111:XFD111">
    <cfRule type="expression" dxfId="900" priority="154">
      <formula>CELL("Schutz",A111)=0</formula>
    </cfRule>
  </conditionalFormatting>
  <conditionalFormatting sqref="O111:S111">
    <cfRule type="expression" dxfId="899" priority="153">
      <formula>CELL("Schutz",O111)=0</formula>
    </cfRule>
  </conditionalFormatting>
  <conditionalFormatting sqref="T110 A110:M110 V110:XFD110">
    <cfRule type="expression" dxfId="898" priority="152">
      <formula>CELL("Schutz",A110)=0</formula>
    </cfRule>
  </conditionalFormatting>
  <conditionalFormatting sqref="O110:S110">
    <cfRule type="expression" dxfId="897" priority="151">
      <formula>CELL("Schutz",O110)=0</formula>
    </cfRule>
  </conditionalFormatting>
  <conditionalFormatting sqref="L119">
    <cfRule type="expression" dxfId="896" priority="150">
      <formula>CELL("Schutz",L119)=0</formula>
    </cfRule>
  </conditionalFormatting>
  <conditionalFormatting sqref="N119">
    <cfRule type="expression" dxfId="895" priority="149">
      <formula>CELL("Schutz",N119)=0</formula>
    </cfRule>
  </conditionalFormatting>
  <conditionalFormatting sqref="R108">
    <cfRule type="expression" dxfId="894" priority="147">
      <formula>CELL("Schutz",R108)=0</formula>
    </cfRule>
  </conditionalFormatting>
  <conditionalFormatting sqref="N66">
    <cfRule type="expression" dxfId="893" priority="146">
      <formula>CELL("Schutz",N66)=0</formula>
    </cfRule>
  </conditionalFormatting>
  <conditionalFormatting sqref="N101:N103">
    <cfRule type="expression" dxfId="892" priority="145">
      <formula>CELL("Schutz",N101)=0</formula>
    </cfRule>
  </conditionalFormatting>
  <conditionalFormatting sqref="C74">
    <cfRule type="expression" dxfId="891" priority="144">
      <formula>CELL("Schutz",C74)=0</formula>
    </cfRule>
  </conditionalFormatting>
  <conditionalFormatting sqref="C75">
    <cfRule type="expression" dxfId="890" priority="143">
      <formula>CELL("Schutz",C75)=0</formula>
    </cfRule>
  </conditionalFormatting>
  <conditionalFormatting sqref="C82">
    <cfRule type="expression" dxfId="889" priority="142">
      <formula>CELL("Schutz",C82)=0</formula>
    </cfRule>
  </conditionalFormatting>
  <conditionalFormatting sqref="E86:L86">
    <cfRule type="expression" dxfId="888" priority="141">
      <formula>$N$86=0</formula>
    </cfRule>
  </conditionalFormatting>
  <conditionalFormatting sqref="E87:L87">
    <cfRule type="expression" dxfId="887" priority="140">
      <formula>$N$87=0</formula>
    </cfRule>
  </conditionalFormatting>
  <conditionalFormatting sqref="E88:L88">
    <cfRule type="expression" dxfId="886" priority="139">
      <formula>$N$88=0</formula>
    </cfRule>
  </conditionalFormatting>
  <conditionalFormatting sqref="E89:L89">
    <cfRule type="expression" dxfId="885" priority="138">
      <formula>$N$89=0</formula>
    </cfRule>
  </conditionalFormatting>
  <conditionalFormatting sqref="E90:L90">
    <cfRule type="expression" dxfId="884" priority="137">
      <formula>$N$90=0</formula>
    </cfRule>
  </conditionalFormatting>
  <conditionalFormatting sqref="E91:L91">
    <cfRule type="expression" dxfId="883" priority="136">
      <formula>$N$91=0</formula>
    </cfRule>
  </conditionalFormatting>
  <conditionalFormatting sqref="E92:L92">
    <cfRule type="expression" dxfId="882" priority="135">
      <formula>$N$92=0</formula>
    </cfRule>
  </conditionalFormatting>
  <conditionalFormatting sqref="E93:L93">
    <cfRule type="expression" dxfId="881" priority="134">
      <formula>$N$93=0</formula>
    </cfRule>
  </conditionalFormatting>
  <conditionalFormatting sqref="E94:L94">
    <cfRule type="expression" dxfId="880" priority="133">
      <formula>$N$94=0</formula>
    </cfRule>
  </conditionalFormatting>
  <conditionalFormatting sqref="E95:L98">
    <cfRule type="expression" dxfId="879" priority="132">
      <formula>$N$95=0</formula>
    </cfRule>
  </conditionalFormatting>
  <conditionalFormatting sqref="P101:S104 N74:N77 P106:S106 N86:N98 N79">
    <cfRule type="cellIs" dxfId="878" priority="131" operator="equal">
      <formula>0</formula>
    </cfRule>
  </conditionalFormatting>
  <conditionalFormatting sqref="E106">
    <cfRule type="cellIs" dxfId="877" priority="130" operator="equal">
      <formula>"#NV"</formula>
    </cfRule>
  </conditionalFormatting>
  <conditionalFormatting sqref="P86">
    <cfRule type="expression" dxfId="876" priority="129">
      <formula>$N$86=0</formula>
    </cfRule>
  </conditionalFormatting>
  <conditionalFormatting sqref="P87">
    <cfRule type="expression" dxfId="875" priority="128">
      <formula>$N$87=0</formula>
    </cfRule>
  </conditionalFormatting>
  <conditionalFormatting sqref="P88">
    <cfRule type="expression" dxfId="874" priority="127">
      <formula>$N$88=0</formula>
    </cfRule>
  </conditionalFormatting>
  <conditionalFormatting sqref="P89">
    <cfRule type="expression" dxfId="873" priority="126">
      <formula>$N$89=0</formula>
    </cfRule>
  </conditionalFormatting>
  <conditionalFormatting sqref="P90">
    <cfRule type="expression" dxfId="872" priority="125">
      <formula>$N$90=0</formula>
    </cfRule>
  </conditionalFormatting>
  <conditionalFormatting sqref="P91">
    <cfRule type="expression" dxfId="871" priority="124">
      <formula>$N$91=0</formula>
    </cfRule>
  </conditionalFormatting>
  <conditionalFormatting sqref="P92">
    <cfRule type="expression" dxfId="870" priority="123">
      <formula>$N$92=0</formula>
    </cfRule>
  </conditionalFormatting>
  <conditionalFormatting sqref="P93">
    <cfRule type="expression" dxfId="869" priority="122">
      <formula>$N$93=0</formula>
    </cfRule>
  </conditionalFormatting>
  <conditionalFormatting sqref="P94">
    <cfRule type="expression" dxfId="868" priority="121">
      <formula>$N$94=0</formula>
    </cfRule>
  </conditionalFormatting>
  <conditionalFormatting sqref="N71:N73">
    <cfRule type="cellIs" dxfId="867" priority="120" operator="equal">
      <formula>0</formula>
    </cfRule>
  </conditionalFormatting>
  <conditionalFormatting sqref="E76 E79 L70:L73 L75:L77 E71:E72 L79">
    <cfRule type="containsText" dxfId="866" priority="119" operator="containsText" text="&quot;---&quot;">
      <formula>NOT(ISERROR(SEARCH("""---""",E70)))</formula>
    </cfRule>
  </conditionalFormatting>
  <conditionalFormatting sqref="N43">
    <cfRule type="cellIs" dxfId="865" priority="118" operator="equal">
      <formula>0</formula>
    </cfRule>
  </conditionalFormatting>
  <conditionalFormatting sqref="N56:N58">
    <cfRule type="cellIs" dxfId="864" priority="115" operator="equal">
      <formula>0</formula>
    </cfRule>
  </conditionalFormatting>
  <conditionalFormatting sqref="N63">
    <cfRule type="cellIs" dxfId="863" priority="117" operator="equal">
      <formula>0</formula>
    </cfRule>
  </conditionalFormatting>
  <conditionalFormatting sqref="N66:N68">
    <cfRule type="expression" dxfId="862" priority="116">
      <formula>$N$63=0</formula>
    </cfRule>
  </conditionalFormatting>
  <conditionalFormatting sqref="P55">
    <cfRule type="expression" dxfId="861" priority="114">
      <formula>$N$55=0</formula>
    </cfRule>
  </conditionalFormatting>
  <conditionalFormatting sqref="L57:L58 P56:P58">
    <cfRule type="expression" dxfId="860" priority="113">
      <formula>$N$56=0</formula>
    </cfRule>
  </conditionalFormatting>
  <conditionalFormatting sqref="E56:E57">
    <cfRule type="expression" dxfId="859" priority="112">
      <formula>$N$56=0</formula>
    </cfRule>
  </conditionalFormatting>
  <conditionalFormatting sqref="L70:L73 P70:P73 E71:E73">
    <cfRule type="expression" dxfId="858" priority="111">
      <formula>$E$70="---"</formula>
    </cfRule>
  </conditionalFormatting>
  <conditionalFormatting sqref="E76:E77 L75:L77 L79 E79">
    <cfRule type="expression" dxfId="857" priority="110">
      <formula>$E$75="---"</formula>
    </cfRule>
  </conditionalFormatting>
  <conditionalFormatting sqref="P63:P64 P66:P68">
    <cfRule type="expression" dxfId="856" priority="109">
      <formula>$E$63="---"</formula>
    </cfRule>
  </conditionalFormatting>
  <conditionalFormatting sqref="P76:P77 P79">
    <cfRule type="expression" dxfId="855" priority="108">
      <formula>$E$75="---"</formula>
    </cfRule>
  </conditionalFormatting>
  <conditionalFormatting sqref="T11:T12 Y11:XFD12 S11:S13 A11:D12 Q11:Q13 F11:K12 O11:O13 M11:M12 V11:W12">
    <cfRule type="expression" dxfId="854" priority="169">
      <formula>CELL("Schutz",#REF!)=0</formula>
    </cfRule>
  </conditionalFormatting>
  <conditionalFormatting sqref="R11:R13">
    <cfRule type="expression" dxfId="853" priority="168">
      <formula>CELL("Schutz",#REF!)=0</formula>
    </cfRule>
  </conditionalFormatting>
  <conditionalFormatting sqref="T13 A13:D13 M13 Y13:XFD13 F13:K13 V13:W13">
    <cfRule type="expression" dxfId="852" priority="206">
      <formula>CELL("Schutz",#REF!)=0</formula>
    </cfRule>
  </conditionalFormatting>
  <conditionalFormatting sqref="C100:C101">
    <cfRule type="expression" dxfId="851" priority="107">
      <formula>CELL("Schutz",C100)=0</formula>
    </cfRule>
  </conditionalFormatting>
  <conditionalFormatting sqref="L101">
    <cfRule type="expression" dxfId="850" priority="106">
      <formula>CELL("Schutz",L101)=0</formula>
    </cfRule>
  </conditionalFormatting>
  <conditionalFormatting sqref="N101">
    <cfRule type="cellIs" dxfId="849" priority="105" operator="equal">
      <formula>0</formula>
    </cfRule>
  </conditionalFormatting>
  <conditionalFormatting sqref="P43:S43">
    <cfRule type="cellIs" dxfId="848" priority="104" operator="equal">
      <formula>0</formula>
    </cfRule>
  </conditionalFormatting>
  <conditionalFormatting sqref="N103">
    <cfRule type="cellIs" dxfId="847" priority="100" operator="equal">
      <formula>0</formula>
    </cfRule>
  </conditionalFormatting>
  <conditionalFormatting sqref="P95">
    <cfRule type="expression" dxfId="846" priority="95">
      <formula>$N$95=0</formula>
    </cfRule>
  </conditionalFormatting>
  <conditionalFormatting sqref="P101">
    <cfRule type="expression" dxfId="845" priority="94">
      <formula>$N$101=0</formula>
    </cfRule>
  </conditionalFormatting>
  <conditionalFormatting sqref="S119">
    <cfRule type="expression" dxfId="844" priority="93">
      <formula>CELL("Schutz",S119)=0</formula>
    </cfRule>
  </conditionalFormatting>
  <conditionalFormatting sqref="R73">
    <cfRule type="expression" dxfId="843" priority="92">
      <formula>CELL("Schutz",R73)=0</formula>
    </cfRule>
  </conditionalFormatting>
  <conditionalFormatting sqref="E73 L73">
    <cfRule type="containsText" dxfId="842" priority="91" operator="containsText" text="&quot;---&quot;">
      <formula>NOT(ISERROR(SEARCH("""---""",E73)))</formula>
    </cfRule>
  </conditionalFormatting>
  <conditionalFormatting sqref="R77">
    <cfRule type="expression" dxfId="841" priority="90">
      <formula>CELL("Schutz",R77)=0</formula>
    </cfRule>
  </conditionalFormatting>
  <conditionalFormatting sqref="E77">
    <cfRule type="containsText" dxfId="840" priority="89" operator="containsText" text="&quot;---&quot;">
      <formula>NOT(ISERROR(SEARCH("""---""",E77)))</formula>
    </cfRule>
  </conditionalFormatting>
  <conditionalFormatting sqref="N118:S118">
    <cfRule type="expression" dxfId="839" priority="87">
      <formula>CELL("Schutz",N118)=0</formula>
    </cfRule>
  </conditionalFormatting>
  <conditionalFormatting sqref="R30">
    <cfRule type="expression" dxfId="838" priority="86">
      <formula>CELL("Schutz",R30)=0</formula>
    </cfRule>
  </conditionalFormatting>
  <conditionalFormatting sqref="F30:I30">
    <cfRule type="expression" dxfId="837" priority="85">
      <formula>CELL("Schutz",F30)=0</formula>
    </cfRule>
  </conditionalFormatting>
  <conditionalFormatting sqref="S106 Q106">
    <cfRule type="expression" dxfId="836" priority="84">
      <formula>CELL("Schutz",Q106)=0</formula>
    </cfRule>
  </conditionalFormatting>
  <conditionalFormatting sqref="R106">
    <cfRule type="expression" dxfId="835" priority="83">
      <formula>CELL("Schutz",R106)=0</formula>
    </cfRule>
  </conditionalFormatting>
  <conditionalFormatting sqref="N106">
    <cfRule type="expression" dxfId="834" priority="80">
      <formula>CELL("Schutz",N106)=0</formula>
    </cfRule>
  </conditionalFormatting>
  <conditionalFormatting sqref="N106">
    <cfRule type="cellIs" dxfId="833" priority="79" operator="equal">
      <formula>0</formula>
    </cfRule>
  </conditionalFormatting>
  <conditionalFormatting sqref="L35">
    <cfRule type="expression" dxfId="832" priority="76">
      <formula>CELL("Schutz",L35)=0</formula>
    </cfRule>
  </conditionalFormatting>
  <conditionalFormatting sqref="L47">
    <cfRule type="expression" dxfId="831" priority="75">
      <formula>CELL("Schutz",L47)=0</formula>
    </cfRule>
  </conditionalFormatting>
  <conditionalFormatting sqref="P106">
    <cfRule type="expression" dxfId="830" priority="207">
      <formula>#REF!=0</formula>
    </cfRule>
  </conditionalFormatting>
  <conditionalFormatting sqref="L59:L61">
    <cfRule type="expression" dxfId="829" priority="74">
      <formula>$N$55=0</formula>
    </cfRule>
  </conditionalFormatting>
  <conditionalFormatting sqref="N59:N61">
    <cfRule type="cellIs" dxfId="828" priority="73" operator="equal">
      <formula>0</formula>
    </cfRule>
  </conditionalFormatting>
  <conditionalFormatting sqref="P59">
    <cfRule type="cellIs" dxfId="827" priority="72" operator="equal">
      <formula>0</formula>
    </cfRule>
  </conditionalFormatting>
  <conditionalFormatting sqref="P60">
    <cfRule type="cellIs" dxfId="826" priority="71" operator="equal">
      <formula>0</formula>
    </cfRule>
  </conditionalFormatting>
  <conditionalFormatting sqref="P61">
    <cfRule type="cellIs" dxfId="825" priority="70" operator="equal">
      <formula>0</formula>
    </cfRule>
  </conditionalFormatting>
  <conditionalFormatting sqref="P98">
    <cfRule type="expression" dxfId="824" priority="69">
      <formula>$N$94=0</formula>
    </cfRule>
  </conditionalFormatting>
  <conditionalFormatting sqref="N16">
    <cfRule type="expression" dxfId="823" priority="66">
      <formula>$N$16&lt;&gt;1</formula>
    </cfRule>
    <cfRule type="cellIs" dxfId="822" priority="67" operator="equal">
      <formula>0</formula>
    </cfRule>
    <cfRule type="expression" dxfId="821" priority="68">
      <formula>0</formula>
    </cfRule>
  </conditionalFormatting>
  <conditionalFormatting sqref="N18">
    <cfRule type="cellIs" dxfId="820" priority="65" operator="equal">
      <formula>0</formula>
    </cfRule>
  </conditionalFormatting>
  <conditionalFormatting sqref="N19">
    <cfRule type="expression" dxfId="819" priority="64">
      <formula>$N$19&lt;&gt;3</formula>
    </cfRule>
  </conditionalFormatting>
  <conditionalFormatting sqref="N83">
    <cfRule type="expression" dxfId="818" priority="63">
      <formula>CELL("Schutz",N83)=0</formula>
    </cfRule>
  </conditionalFormatting>
  <conditionalFormatting sqref="N83">
    <cfRule type="cellIs" dxfId="817" priority="62" operator="equal">
      <formula>0</formula>
    </cfRule>
  </conditionalFormatting>
  <conditionalFormatting sqref="R105">
    <cfRule type="expression" dxfId="816" priority="60">
      <formula>CELL("Schutz",R105)=0</formula>
    </cfRule>
  </conditionalFormatting>
  <conditionalFormatting sqref="X105 L105">
    <cfRule type="expression" dxfId="815" priority="59">
      <formula>CELL("Schutz",L105)=0</formula>
    </cfRule>
  </conditionalFormatting>
  <conditionalFormatting sqref="P105:S105">
    <cfRule type="cellIs" dxfId="814" priority="58" operator="equal">
      <formula>0</formula>
    </cfRule>
  </conditionalFormatting>
  <conditionalFormatting sqref="E105">
    <cfRule type="cellIs" dxfId="813" priority="57" operator="equal">
      <formula>"#NV"</formula>
    </cfRule>
  </conditionalFormatting>
  <conditionalFormatting sqref="S105 Q105">
    <cfRule type="expression" dxfId="812" priority="56">
      <formula>CELL("Schutz",Q105)=0</formula>
    </cfRule>
  </conditionalFormatting>
  <conditionalFormatting sqref="R105">
    <cfRule type="expression" dxfId="811" priority="55">
      <formula>CELL("Schutz",R105)=0</formula>
    </cfRule>
  </conditionalFormatting>
  <conditionalFormatting sqref="N105">
    <cfRule type="expression" dxfId="810" priority="54">
      <formula>CELL("Schutz",N105)=0</formula>
    </cfRule>
  </conditionalFormatting>
  <conditionalFormatting sqref="N105">
    <cfRule type="cellIs" dxfId="809" priority="53" operator="equal">
      <formula>0</formula>
    </cfRule>
  </conditionalFormatting>
  <conditionalFormatting sqref="P105">
    <cfRule type="expression" dxfId="808" priority="61">
      <formula>#REF!=0</formula>
    </cfRule>
  </conditionalFormatting>
  <conditionalFormatting sqref="N7">
    <cfRule type="expression" dxfId="807" priority="51">
      <formula>CELL("Schutz",N7)=0</formula>
    </cfRule>
  </conditionalFormatting>
  <conditionalFormatting sqref="R65">
    <cfRule type="expression" dxfId="806" priority="50">
      <formula>CELL("Schutz",R65)=0</formula>
    </cfRule>
  </conditionalFormatting>
  <conditionalFormatting sqref="M65">
    <cfRule type="expression" dxfId="805" priority="49">
      <formula>CELL("Schutz",M65)=0</formula>
    </cfRule>
  </conditionalFormatting>
  <conditionalFormatting sqref="N65">
    <cfRule type="expression" dxfId="804" priority="48">
      <formula>CELL("Schutz",N65)=0</formula>
    </cfRule>
  </conditionalFormatting>
  <conditionalFormatting sqref="N65">
    <cfRule type="expression" dxfId="803" priority="46">
      <formula>$N$63=0</formula>
    </cfRule>
  </conditionalFormatting>
  <conditionalFormatting sqref="P65">
    <cfRule type="expression" dxfId="802" priority="45">
      <formula>$E$63="---"</formula>
    </cfRule>
  </conditionalFormatting>
  <conditionalFormatting sqref="B51:I51 B50:D50 M50:M51 O51 B53:D53 M53">
    <cfRule type="expression" dxfId="801" priority="44">
      <formula>CELL("Schutz",B50)=0</formula>
    </cfRule>
  </conditionalFormatting>
  <conditionalFormatting sqref="N53">
    <cfRule type="cellIs" dxfId="800" priority="43" operator="equal">
      <formula>0</formula>
    </cfRule>
  </conditionalFormatting>
  <conditionalFormatting sqref="P53">
    <cfRule type="expression" dxfId="799" priority="42">
      <formula>$N$53=0</formula>
    </cfRule>
  </conditionalFormatting>
  <conditionalFormatting sqref="J55:K55 M55">
    <cfRule type="expression" dxfId="798" priority="40">
      <formula>CELL("Schutz",J55)=0</formula>
    </cfRule>
  </conditionalFormatting>
  <conditionalFormatting sqref="E55:I55">
    <cfRule type="expression" dxfId="797" priority="39">
      <formula>CELL("Schutz",E55)=0</formula>
    </cfRule>
  </conditionalFormatting>
  <conditionalFormatting sqref="N55">
    <cfRule type="cellIs" dxfId="796" priority="38" operator="equal">
      <formula>0</formula>
    </cfRule>
  </conditionalFormatting>
  <conditionalFormatting sqref="E55">
    <cfRule type="expression" dxfId="795" priority="37">
      <formula>$N$55=0</formula>
    </cfRule>
  </conditionalFormatting>
  <conditionalFormatting sqref="L50">
    <cfRule type="expression" dxfId="794" priority="36">
      <formula>CELL("Schutz",L50)=0</formula>
    </cfRule>
  </conditionalFormatting>
  <conditionalFormatting sqref="L53">
    <cfRule type="expression" dxfId="793" priority="35">
      <formula>CELL("Schutz",L53)=0</formula>
    </cfRule>
  </conditionalFormatting>
  <conditionalFormatting sqref="L55">
    <cfRule type="expression" dxfId="792" priority="33">
      <formula>$N$55=0</formula>
    </cfRule>
    <cfRule type="expression" dxfId="791" priority="34">
      <formula>CELL("Schutz",L55)=0</formula>
    </cfRule>
  </conditionalFormatting>
  <conditionalFormatting sqref="R96">
    <cfRule type="expression" dxfId="790" priority="31">
      <formula>CELL("Schutz",R96)=0</formula>
    </cfRule>
  </conditionalFormatting>
  <conditionalFormatting sqref="P96">
    <cfRule type="expression" dxfId="789" priority="30">
      <formula>$N$95=0</formula>
    </cfRule>
  </conditionalFormatting>
  <conditionalFormatting sqref="R97">
    <cfRule type="expression" dxfId="788" priority="29">
      <formula>CELL("Schutz",R97)=0</formula>
    </cfRule>
  </conditionalFormatting>
  <conditionalFormatting sqref="P97">
    <cfRule type="expression" dxfId="787" priority="28">
      <formula>$N$95=0</formula>
    </cfRule>
  </conditionalFormatting>
  <conditionalFormatting sqref="A49:D49 M49:Q49 J49 V49:XFD49">
    <cfRule type="expression" dxfId="786" priority="27">
      <formula>CELL("Schutz",A49)=0</formula>
    </cfRule>
  </conditionalFormatting>
  <conditionalFormatting sqref="R49">
    <cfRule type="expression" dxfId="785" priority="26">
      <formula>CELL("Schutz",R49)=0</formula>
    </cfRule>
  </conditionalFormatting>
  <conditionalFormatting sqref="A52:D52 M52:Q52 V52:XFD52">
    <cfRule type="expression" dxfId="784" priority="22">
      <formula>CELL("Schutz",A52)=0</formula>
    </cfRule>
  </conditionalFormatting>
  <conditionalFormatting sqref="R52">
    <cfRule type="expression" dxfId="783" priority="21">
      <formula>CELL("Schutz",R52)=0</formula>
    </cfRule>
  </conditionalFormatting>
  <conditionalFormatting sqref="J50:J51 J53">
    <cfRule type="expression" dxfId="782" priority="17">
      <formula>CELL("Schutz",J50)=0</formula>
    </cfRule>
  </conditionalFormatting>
  <conditionalFormatting sqref="O7">
    <cfRule type="expression" dxfId="781" priority="15">
      <formula>CELL("Schutz",O7)=0</formula>
    </cfRule>
  </conditionalFormatting>
  <conditionalFormatting sqref="O50">
    <cfRule type="expression" dxfId="780" priority="12">
      <formula>CELL("Schutz",O50)=0</formula>
    </cfRule>
  </conditionalFormatting>
  <conditionalFormatting sqref="L56">
    <cfRule type="expression" dxfId="779" priority="10">
      <formula>CELL("Schutz",L56)=0</formula>
    </cfRule>
  </conditionalFormatting>
  <conditionalFormatting sqref="E73">
    <cfRule type="containsText" dxfId="778" priority="9" operator="containsText" text="&quot;---&quot;">
      <formula>NOT(ISERROR(SEARCH("""---""",E73)))</formula>
    </cfRule>
  </conditionalFormatting>
  <conditionalFormatting sqref="E73">
    <cfRule type="containsText" dxfId="777" priority="8" operator="containsText" text="&quot;---&quot;">
      <formula>NOT(ISERROR(SEARCH("""---""",E73)))</formula>
    </cfRule>
  </conditionalFormatting>
  <conditionalFormatting sqref="E73">
    <cfRule type="containsText" dxfId="776" priority="7" operator="containsText" text="&quot;---&quot;">
      <formula>NOT(ISERROR(SEARCH("""---""",E73)))</formula>
    </cfRule>
  </conditionalFormatting>
  <conditionalFormatting sqref="R78 U78">
    <cfRule type="expression" dxfId="775" priority="6">
      <formula>CELL("Schutz",R78)=0</formula>
    </cfRule>
  </conditionalFormatting>
  <conditionalFormatting sqref="N78">
    <cfRule type="cellIs" dxfId="774" priority="5" operator="equal">
      <formula>0</formula>
    </cfRule>
  </conditionalFormatting>
  <conditionalFormatting sqref="E78 L78">
    <cfRule type="containsText" dxfId="773" priority="4" operator="containsText" text="&quot;---&quot;">
      <formula>NOT(ISERROR(SEARCH("""---""",E78)))</formula>
    </cfRule>
  </conditionalFormatting>
  <conditionalFormatting sqref="L78 E78">
    <cfRule type="expression" dxfId="772" priority="3">
      <formula>$E$75="---"</formula>
    </cfRule>
  </conditionalFormatting>
  <conditionalFormatting sqref="P78">
    <cfRule type="expression" dxfId="771" priority="2">
      <formula>$E$75="---"</formula>
    </cfRule>
  </conditionalFormatting>
  <dataValidations disablePrompts="1" count="6">
    <dataValidation type="list" allowBlank="1" showInputMessage="1" showErrorMessage="1" sqref="F55:I57 F59:I61 E54:I54">
      <formula1>#REF!</formula1>
    </dataValidation>
    <dataValidation type="list" allowBlank="1" showInputMessage="1" showErrorMessage="1" sqref="N83">
      <formula1>$A$82</formula1>
    </dataValidation>
    <dataValidation allowBlank="1" showInputMessage="1" showErrorMessage="1" sqref="N8:N9 N104 N86:N100 N49 N52"/>
    <dataValidation type="list" allowBlank="1" showInputMessage="1" showErrorMessage="1" sqref="N47">
      <formula1>$J$47:$J$48</formula1>
    </dataValidation>
    <dataValidation type="list" allowBlank="1" showInputMessage="1" showErrorMessage="1" sqref="N82 N84">
      <formula1>$A$82:$A$86</formula1>
    </dataValidation>
    <dataValidation type="list" allowBlank="1" showInputMessage="1" showErrorMessage="1" sqref="E100:I100">
      <formula1>$A$164:$A$165</formula1>
    </dataValidation>
  </dataValidations>
  <hyperlinks>
    <hyperlink ref="B2" location="Übersicht!A1" display="Home"/>
  </hyperlinks>
  <pageMargins left="0.76" right="0.68" top="0.78740157480314965" bottom="0.78740157480314965" header="0.31496062992125984" footer="0.31496062992125984"/>
  <pageSetup paperSize="9" scale="39" orientation="portrait" horizontalDpi="4294967294" r:id="rId1"/>
  <headerFooter>
    <oddHeader>&amp;F</oddHeader>
  </headerFooter>
  <rowBreaks count="1" manualBreakCount="1">
    <brk id="107" max="20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3">
        <x14:dataValidation type="list" allowBlank="1" showInputMessage="1" showErrorMessage="1">
          <x14:formula1>
            <xm:f>'EBM00256'!$A$173:$A$174</xm:f>
          </x14:formula1>
          <xm:sqref>K53 K50</xm:sqref>
        </x14:dataValidation>
        <x14:dataValidation type="list" allowBlank="1" showInputMessage="1" showErrorMessage="1">
          <x14:formula1>
            <xm:f>'EBM00256'!$C$103:$C$106</xm:f>
          </x14:formula1>
          <xm:sqref>E63:I63</xm:sqref>
        </x14:dataValidation>
        <x14:dataValidation type="list" allowBlank="1" showInputMessage="1" showErrorMessage="1">
          <x14:formula1>
            <xm:f>'EBM00256'!$C$158:$C$161</xm:f>
          </x14:formula1>
          <xm:sqref>E58:I58</xm:sqref>
        </x14:dataValidation>
        <x14:dataValidation type="list" allowBlank="1" showInputMessage="1" showErrorMessage="1">
          <x14:formula1>
            <xm:f>'EBM00256'!$C$83:$C$86</xm:f>
          </x14:formula1>
          <xm:sqref>E47:I47</xm:sqref>
        </x14:dataValidation>
        <x14:dataValidation type="list" allowBlank="1" showInputMessage="1" showErrorMessage="1">
          <x14:formula1>
            <xm:f>'EBM00256'!$C$53:$C$54</xm:f>
          </x14:formula1>
          <xm:sqref>E37:I37</xm:sqref>
        </x14:dataValidation>
        <x14:dataValidation type="list" allowBlank="1" showInputMessage="1" showErrorMessage="1">
          <x14:formula1>
            <xm:f>'EBM00256'!$C$40:$C$51</xm:f>
          </x14:formula1>
          <xm:sqref>E35:I35</xm:sqref>
        </x14:dataValidation>
        <x14:dataValidation type="list" allowBlank="1" showInputMessage="1" showErrorMessage="1">
          <x14:formula1>
            <xm:f>'EBM00256'!$C$188:$C$196</xm:f>
          </x14:formula1>
          <xm:sqref>E119:I119</xm:sqref>
        </x14:dataValidation>
        <x14:dataValidation type="list" allowBlank="1" showInputMessage="1" showErrorMessage="1">
          <x14:formula1>
            <xm:f>'EBM00256'!$C$123:$C$125</xm:f>
          </x14:formula1>
          <xm:sqref>E70:I70</xm:sqref>
        </x14:dataValidation>
        <x14:dataValidation type="list" allowBlank="1" showInputMessage="1" showErrorMessage="1">
          <x14:formula1>
            <xm:f>'EBM00256'!$C$136:$C$137</xm:f>
          </x14:formula1>
          <xm:sqref>E75:I75</xm:sqref>
        </x14:dataValidation>
        <x14:dataValidation type="list" allowBlank="1" showInputMessage="1" showErrorMessage="1">
          <x14:formula1>
            <xm:f>'EBM00256'!$C$68:$C$80</xm:f>
          </x14:formula1>
          <xm:sqref>E45:I45</xm:sqref>
        </x14:dataValidation>
        <x14:dataValidation type="list" allowBlank="1" showInputMessage="1" showErrorMessage="1">
          <x14:formula1>
            <xm:f>'EBM00256'!$C$89:$C$94</xm:f>
          </x14:formula1>
          <xm:sqref>E53:I53</xm:sqref>
        </x14:dataValidation>
        <x14:dataValidation type="list" allowBlank="1" showInputMessage="1" showErrorMessage="1">
          <x14:formula1>
            <xm:f>'EBM00256'!$C$90:$C$97</xm:f>
          </x14:formula1>
          <xm:sqref>E50:I50</xm:sqref>
        </x14:dataValidation>
        <x14:dataValidation type="list" allowBlank="1" showInputMessage="1" showErrorMessage="1">
          <x14:formula1>
            <xm:f>'EBM00256'!$C$177:$C$180</xm:f>
          </x14:formula1>
          <xm:sqref>E103:I103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X160"/>
  <sheetViews>
    <sheetView view="pageBreakPreview" zoomScale="85" zoomScaleNormal="100" zoomScaleSheetLayoutView="85" zoomScalePageLayoutView="70" workbookViewId="0">
      <pane xSplit="1" ySplit="5" topLeftCell="B6" activePane="bottomRight" state="frozen"/>
      <selection activeCell="L15" sqref="L15"/>
      <selection pane="topRight" activeCell="L15" sqref="L15"/>
      <selection pane="bottomLeft" activeCell="L15" sqref="L15"/>
      <selection pane="bottomRight" activeCell="G2" sqref="G2:L2"/>
    </sheetView>
  </sheetViews>
  <sheetFormatPr baseColWidth="10" defaultColWidth="11.42578125" defaultRowHeight="15" x14ac:dyDescent="0.25"/>
  <cols>
    <col min="1" max="1" width="10.7109375" style="136" customWidth="1"/>
    <col min="2" max="2" width="25.140625" style="136" customWidth="1"/>
    <col min="3" max="3" width="9.28515625" style="136" customWidth="1"/>
    <col min="4" max="4" width="1.7109375" style="136" customWidth="1"/>
    <col min="5" max="8" width="11" style="136" customWidth="1"/>
    <col min="9" max="9" width="19.85546875" style="136" customWidth="1"/>
    <col min="10" max="10" width="0.5703125" style="136" customWidth="1"/>
    <col min="11" max="11" width="5" style="136" customWidth="1"/>
    <col min="12" max="12" width="20.5703125" style="137" bestFit="1" customWidth="1"/>
    <col min="13" max="13" width="1.7109375" style="148" customWidth="1"/>
    <col min="14" max="14" width="17.85546875" style="136" customWidth="1"/>
    <col min="15" max="15" width="9" style="148" customWidth="1"/>
    <col min="16" max="16" width="15.28515625" style="144" customWidth="1"/>
    <col min="17" max="17" width="1.5703125" style="131" customWidth="1"/>
    <col min="18" max="18" width="13.5703125" style="131" customWidth="1"/>
    <col min="19" max="19" width="1.7109375" style="131" customWidth="1"/>
    <col min="20" max="20" width="1.7109375" style="136" customWidth="1"/>
    <col min="21" max="21" width="20.5703125" style="136" customWidth="1"/>
    <col min="22" max="23" width="4.5703125" style="136" customWidth="1"/>
    <col min="24" max="16384" width="11.42578125" style="136"/>
  </cols>
  <sheetData>
    <row r="1" spans="2:24" x14ac:dyDescent="0.25">
      <c r="B1" s="17"/>
      <c r="C1" s="17"/>
      <c r="D1" s="17"/>
      <c r="E1" s="17"/>
      <c r="F1" s="17"/>
      <c r="G1" s="17"/>
      <c r="H1" s="17"/>
      <c r="I1" s="17"/>
      <c r="J1" s="17"/>
      <c r="K1" s="17"/>
      <c r="L1" s="27"/>
      <c r="M1" s="97"/>
      <c r="N1" s="17"/>
      <c r="O1" s="97"/>
      <c r="P1" s="97"/>
      <c r="Q1" s="17"/>
      <c r="R1" s="17"/>
      <c r="S1" s="17"/>
    </row>
    <row r="2" spans="2:24" ht="20.25" customHeight="1" x14ac:dyDescent="0.25">
      <c r="B2" s="39" t="s">
        <v>193</v>
      </c>
      <c r="C2" s="17"/>
      <c r="D2" s="17"/>
      <c r="E2" s="149" t="s">
        <v>524</v>
      </c>
      <c r="F2" s="17"/>
      <c r="G2" s="387"/>
      <c r="H2" s="388"/>
      <c r="I2" s="388"/>
      <c r="J2" s="388"/>
      <c r="K2" s="388"/>
      <c r="L2" s="389"/>
      <c r="M2" s="98"/>
      <c r="O2" s="97"/>
      <c r="P2" s="97"/>
      <c r="Q2" s="17"/>
      <c r="R2" s="17"/>
      <c r="S2" s="17"/>
    </row>
    <row r="3" spans="2:24" x14ac:dyDescent="0.25">
      <c r="B3" s="17"/>
      <c r="C3" s="17"/>
      <c r="D3" s="17"/>
      <c r="E3" s="17"/>
      <c r="F3" s="17"/>
      <c r="G3" s="17"/>
      <c r="H3" s="17"/>
      <c r="I3" s="17"/>
      <c r="J3" s="17"/>
      <c r="K3" s="17"/>
      <c r="L3" s="27"/>
      <c r="M3" s="97"/>
      <c r="N3" s="17"/>
      <c r="O3" s="97"/>
      <c r="Q3" s="17"/>
      <c r="S3" s="17"/>
    </row>
    <row r="4" spans="2:24" s="103" customFormat="1" ht="25.5" x14ac:dyDescent="0.25">
      <c r="B4" s="150" t="s">
        <v>525</v>
      </c>
      <c r="E4" s="149" t="str">
        <f>'EBM00255'!C2</f>
        <v>2000071M</v>
      </c>
      <c r="G4" s="110" t="str">
        <f>'EBM00255'!C1</f>
        <v>MCD Medical AESCU.certus³</v>
      </c>
      <c r="M4" s="106"/>
      <c r="N4" s="104" t="str">
        <f>'EBM00255'!E1</f>
        <v>Rev. D</v>
      </c>
      <c r="O4" s="106"/>
      <c r="P4" s="106"/>
      <c r="Q4" s="105"/>
      <c r="R4" s="107"/>
      <c r="S4" s="107"/>
    </row>
    <row r="5" spans="2:24" x14ac:dyDescent="0.25">
      <c r="B5" s="394" t="s">
        <v>66</v>
      </c>
      <c r="C5" s="395"/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395"/>
      <c r="S5" s="395"/>
    </row>
    <row r="6" spans="2:24" ht="5.25" customHeight="1" x14ac:dyDescent="0.25"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55"/>
      <c r="M6" s="144"/>
      <c r="N6" s="131"/>
      <c r="O6" s="144"/>
      <c r="P6" s="368"/>
      <c r="Q6" s="4"/>
      <c r="R6" s="5"/>
      <c r="S6" s="4"/>
    </row>
    <row r="7" spans="2:24" ht="20.25" x14ac:dyDescent="0.25">
      <c r="B7" s="135" t="s">
        <v>526</v>
      </c>
      <c r="C7" s="126"/>
      <c r="D7" s="131"/>
      <c r="E7" s="131"/>
      <c r="F7" s="131"/>
      <c r="G7" s="131"/>
      <c r="H7" s="131"/>
      <c r="I7" s="131"/>
      <c r="J7" s="156"/>
      <c r="K7" s="167"/>
      <c r="L7" s="138" t="s">
        <v>75</v>
      </c>
      <c r="M7" s="99"/>
      <c r="N7" s="138" t="s">
        <v>546</v>
      </c>
      <c r="O7" s="369" t="s">
        <v>716</v>
      </c>
      <c r="P7" s="370" t="s">
        <v>189</v>
      </c>
      <c r="Q7" s="130"/>
      <c r="R7" s="2"/>
      <c r="S7" s="130"/>
      <c r="U7" s="121" t="s">
        <v>543</v>
      </c>
    </row>
    <row r="8" spans="2:24" x14ac:dyDescent="0.25">
      <c r="B8" s="131"/>
      <c r="C8" s="145"/>
      <c r="D8" s="131"/>
      <c r="E8" s="131"/>
      <c r="F8" s="131"/>
      <c r="G8" s="131"/>
      <c r="H8" s="131"/>
      <c r="I8" s="131"/>
      <c r="J8" s="131"/>
      <c r="K8" s="131"/>
      <c r="L8" s="155"/>
      <c r="M8" s="144"/>
      <c r="N8" s="131"/>
      <c r="O8" s="144"/>
      <c r="P8" s="371"/>
      <c r="Q8" s="7"/>
      <c r="R8" s="9"/>
      <c r="S8" s="7"/>
      <c r="U8" s="124" t="s">
        <v>544</v>
      </c>
    </row>
    <row r="9" spans="2:24" s="131" customFormat="1" ht="5.25" customHeight="1" x14ac:dyDescent="0.25">
      <c r="C9" s="145"/>
      <c r="L9" s="179"/>
      <c r="M9" s="144"/>
      <c r="N9" s="179"/>
      <c r="O9" s="144"/>
      <c r="P9" s="372"/>
    </row>
    <row r="10" spans="2:24" s="131" customFormat="1" x14ac:dyDescent="0.25">
      <c r="C10" s="139" t="s">
        <v>187</v>
      </c>
      <c r="D10" s="140"/>
      <c r="E10" s="140" t="str">
        <f>'EBM00255'!C5</f>
        <v>Gehäuse-Satz AC³ MCD</v>
      </c>
      <c r="F10" s="140"/>
      <c r="G10" s="140"/>
      <c r="H10" s="140"/>
      <c r="I10" s="140"/>
      <c r="J10" s="115"/>
      <c r="K10" s="115"/>
      <c r="L10" s="141" t="str">
        <f>IF(INDEX('EBM00255'!B:B,MATCH(E10,'EBM00255'!C:C,0))=0,"",INDEX('EBM00255'!B:B,MATCH(E10,'EBM00255'!C:C,0)))</f>
        <v>3031262M</v>
      </c>
      <c r="M10" s="147"/>
      <c r="N10" s="141">
        <f>VLOOKUP(L10,'EBM00255'!B:F,3,FALSE)</f>
        <v>1</v>
      </c>
      <c r="O10" s="144" t="str">
        <f>IFERROR(VLOOKUP(L10,#REF!,4,FALSE),"")</f>
        <v/>
      </c>
      <c r="P10" s="372">
        <f>IFERROR(VLOOKUP(L10,'EBM00255'!$B:$F,4,),)</f>
        <v>229.44444444444443</v>
      </c>
      <c r="Q10" s="140"/>
      <c r="R10" s="31"/>
      <c r="S10" s="32"/>
      <c r="T10" s="26" t="e">
        <f>O10*Q10</f>
        <v>#VALUE!</v>
      </c>
      <c r="U10" s="84">
        <f t="shared" ref="U10:U41" si="0">N10*P10</f>
        <v>229.44444444444443</v>
      </c>
      <c r="V10" s="84"/>
      <c r="W10" s="82"/>
      <c r="X10" s="136"/>
    </row>
    <row r="11" spans="2:24" s="131" customFormat="1" x14ac:dyDescent="0.25">
      <c r="C11" s="139" t="s">
        <v>527</v>
      </c>
      <c r="D11" s="140"/>
      <c r="E11" s="140" t="str">
        <f>'EBM00255'!C6</f>
        <v>Frontbaugruppe Gehäuse AC³ MCD</v>
      </c>
      <c r="F11" s="140"/>
      <c r="G11" s="140"/>
      <c r="H11" s="140"/>
      <c r="I11" s="140"/>
      <c r="J11" s="115"/>
      <c r="K11" s="115"/>
      <c r="L11" s="141" t="str">
        <f>IF(INDEX('EBM00255'!B:B,MATCH(E11,'EBM00255'!C:C,0))=0,"",INDEX('EBM00255'!B:B,MATCH(E11,'EBM00255'!C:C,0)))</f>
        <v>3031266M</v>
      </c>
      <c r="M11" s="147"/>
      <c r="N11" s="141">
        <f>VLOOKUP(L11,'EBM00255'!B:F,3,FALSE)</f>
        <v>1</v>
      </c>
      <c r="O11" s="144" t="str">
        <f>IFERROR(VLOOKUP(L11,#REF!,4,FALSE),"")</f>
        <v/>
      </c>
      <c r="P11" s="372">
        <f>IFERROR(VLOOKUP(L11,'EBM00255'!$B:$F,4,),)</f>
        <v>96.728395061728378</v>
      </c>
      <c r="Q11" s="140"/>
      <c r="R11" s="31"/>
      <c r="S11" s="32"/>
      <c r="U11" s="84">
        <f t="shared" si="0"/>
        <v>96.728395061728378</v>
      </c>
      <c r="V11" s="84"/>
      <c r="W11" s="82"/>
      <c r="X11" s="136"/>
    </row>
    <row r="12" spans="2:24" s="131" customFormat="1" x14ac:dyDescent="0.25">
      <c r="C12" s="154" t="s">
        <v>528</v>
      </c>
      <c r="D12" s="140"/>
      <c r="E12" s="140" t="str">
        <f>'EBM00255'!C7</f>
        <v>Kabelsatz AC³ Front-Baugruppe</v>
      </c>
      <c r="F12" s="140"/>
      <c r="G12" s="140"/>
      <c r="H12" s="140"/>
      <c r="I12" s="140"/>
      <c r="J12" s="115"/>
      <c r="K12" s="115"/>
      <c r="L12" s="141" t="str">
        <f>IF(INDEX('EBM00255'!B:B,MATCH(E12,'EBM00255'!C:C,0))=0,"",INDEX('EBM00255'!B:B,MATCH(E12,'EBM00255'!C:C,0)))</f>
        <v>7100217M</v>
      </c>
      <c r="M12" s="147"/>
      <c r="N12" s="141">
        <f>VLOOKUP(L12,'EBM00255'!B:F,3,FALSE)</f>
        <v>1</v>
      </c>
      <c r="O12" s="144" t="str">
        <f>IFERROR(VLOOKUP(L12,#REF!,4,FALSE),"")</f>
        <v/>
      </c>
      <c r="P12" s="372">
        <f>IFERROR(VLOOKUP(L12,'EBM00255'!$B:$F,4,),)</f>
        <v>10.172839506172838</v>
      </c>
      <c r="Q12" s="140"/>
      <c r="R12" s="164"/>
      <c r="S12" s="32"/>
      <c r="U12" s="84">
        <f t="shared" si="0"/>
        <v>10.172839506172838</v>
      </c>
      <c r="V12" s="84"/>
      <c r="W12" s="82"/>
      <c r="X12" s="136"/>
    </row>
    <row r="13" spans="2:24" s="131" customFormat="1" x14ac:dyDescent="0.25">
      <c r="C13" s="139"/>
      <c r="D13" s="140"/>
      <c r="E13" s="140" t="str">
        <f>'EBM00255'!C8</f>
        <v>Gehäuse-Seitenteil AC³ links / rechts Standard</v>
      </c>
      <c r="F13" s="140"/>
      <c r="G13" s="140"/>
      <c r="H13" s="140"/>
      <c r="I13" s="140"/>
      <c r="J13" s="115"/>
      <c r="K13" s="115"/>
      <c r="L13" s="141" t="str">
        <f>IF(INDEX('EBM00255'!B:B,MATCH(E13,'EBM00255'!C:C,0))=0,"",INDEX('EBM00255'!B:B,MATCH(E13,'EBM00255'!C:C,0)))</f>
        <v>3031267M</v>
      </c>
      <c r="M13" s="147"/>
      <c r="N13" s="141">
        <f>IF(OR(E69&lt;&gt;"---",E72&lt;&gt;"---",E118="Ja"),0,1)</f>
        <v>1</v>
      </c>
      <c r="O13" s="144" t="str">
        <f>IFERROR(VLOOKUP(L13,#REF!,4,FALSE),"")</f>
        <v/>
      </c>
      <c r="P13" s="372">
        <f>IFERROR(VLOOKUP(L13,'EBM00255'!$B:$F,4,),)</f>
        <v>6.7283950617283947</v>
      </c>
      <c r="Q13" s="140"/>
      <c r="R13" s="31"/>
      <c r="S13" s="32"/>
      <c r="U13" s="84">
        <f t="shared" si="0"/>
        <v>6.7283950617283947</v>
      </c>
      <c r="V13" s="84"/>
      <c r="W13" s="82"/>
      <c r="X13" s="136"/>
    </row>
    <row r="14" spans="2:24" s="131" customFormat="1" x14ac:dyDescent="0.25">
      <c r="C14" s="139"/>
      <c r="D14" s="140"/>
      <c r="E14" s="140" t="str">
        <f>'EBM00255'!C9</f>
        <v>Mainboard Fujitsu D3433-S2 Kabylake mini ITX</v>
      </c>
      <c r="F14" s="140"/>
      <c r="G14" s="140"/>
      <c r="H14" s="140"/>
      <c r="I14" s="140"/>
      <c r="J14" s="115"/>
      <c r="K14" s="115"/>
      <c r="L14" s="141" t="str">
        <f>IF(INDEX('EBM00255'!B:B,MATCH(E14,'EBM00255'!C:C,0))=0,"",INDEX('EBM00255'!B:B,MATCH(E14,'EBM00255'!C:C,0)))</f>
        <v>3050031M</v>
      </c>
      <c r="M14" s="147"/>
      <c r="N14" s="141">
        <f>VLOOKUP(L14,'EBM00255'!B:F,3,FALSE)</f>
        <v>1</v>
      </c>
      <c r="O14" s="144" t="str">
        <f>IFERROR(VLOOKUP(L14,#REF!,4,FALSE),"")</f>
        <v/>
      </c>
      <c r="P14" s="372">
        <f>IFERROR(VLOOKUP(L14,'EBM00255'!$B:$F,4,),)</f>
        <v>159.50617283950615</v>
      </c>
      <c r="Q14" s="140"/>
      <c r="R14" s="31"/>
      <c r="S14" s="32"/>
      <c r="U14" s="84">
        <f t="shared" si="0"/>
        <v>159.50617283950615</v>
      </c>
      <c r="V14" s="84"/>
      <c r="W14" s="82"/>
      <c r="X14" s="136"/>
    </row>
    <row r="15" spans="2:24" s="131" customFormat="1" x14ac:dyDescent="0.25">
      <c r="C15" s="139"/>
      <c r="D15" s="140"/>
      <c r="E15" s="140" t="str">
        <f>'EBM00255'!C10</f>
        <v>Heatspreader-Kit MCD AC³ / TL³</v>
      </c>
      <c r="F15" s="140"/>
      <c r="G15" s="140"/>
      <c r="H15" s="140"/>
      <c r="I15" s="140"/>
      <c r="J15" s="115"/>
      <c r="K15" s="115"/>
      <c r="L15" s="141" t="str">
        <f>IF(INDEX('EBM00255'!B:B,MATCH(E15,'EBM00255'!C:C,0))=0,"",INDEX('EBM00255'!B:B,MATCH(E15,'EBM00255'!C:C,0)))</f>
        <v>3031276M</v>
      </c>
      <c r="M15" s="147"/>
      <c r="N15" s="141">
        <f>VLOOKUP(L15,'EBM00255'!B:F,3,FALSE)</f>
        <v>1</v>
      </c>
      <c r="O15" s="144" t="str">
        <f>IFERROR(VLOOKUP(L15,#REF!,4,FALSE),"")</f>
        <v/>
      </c>
      <c r="P15" s="372">
        <f>IFERROR(VLOOKUP(L15,'EBM00255'!$B:$F,4,),)</f>
        <v>30.679012345679013</v>
      </c>
      <c r="Q15" s="140"/>
      <c r="R15" s="31"/>
      <c r="S15" s="32"/>
      <c r="U15" s="84">
        <f t="shared" si="0"/>
        <v>30.679012345679013</v>
      </c>
      <c r="V15" s="84"/>
      <c r="W15" s="82"/>
      <c r="X15" s="136"/>
    </row>
    <row r="16" spans="2:24" s="131" customFormat="1" x14ac:dyDescent="0.25">
      <c r="C16" s="139"/>
      <c r="D16" s="140"/>
      <c r="E16" s="140" t="str">
        <f>'EBM00255'!C11</f>
        <v>Gehäuse AC2 Heatpipe für CPU 300mm</v>
      </c>
      <c r="F16" s="140"/>
      <c r="G16" s="140"/>
      <c r="H16" s="140"/>
      <c r="I16" s="140"/>
      <c r="J16" s="115"/>
      <c r="K16" s="115"/>
      <c r="L16" s="141">
        <f>IF(INDEX('EBM00255'!B:B,MATCH(E16,'EBM00255'!C:C,0))=0,"",INDEX('EBM00255'!B:B,MATCH(E16,'EBM00255'!C:C,0)))</f>
        <v>9827071</v>
      </c>
      <c r="M16" s="147"/>
      <c r="N16" s="141">
        <f>VLOOKUP(L16,'EBM00255'!B:F,3,FALSE)</f>
        <v>1</v>
      </c>
      <c r="O16" s="144" t="str">
        <f>IFERROR(VLOOKUP(L16,#REF!,4,FALSE),"")</f>
        <v/>
      </c>
      <c r="P16" s="372">
        <f>IFERROR(VLOOKUP(L16,'EBM00255'!$B:$F,4,),)</f>
        <v>5.5555555555555554</v>
      </c>
      <c r="Q16" s="140"/>
      <c r="R16" s="31"/>
      <c r="S16" s="32"/>
      <c r="U16" s="84">
        <f t="shared" si="0"/>
        <v>5.5555555555555554</v>
      </c>
      <c r="V16" s="84"/>
      <c r="W16" s="82"/>
      <c r="X16" s="136"/>
    </row>
    <row r="17" spans="3:24" s="131" customFormat="1" x14ac:dyDescent="0.25">
      <c r="C17" s="139"/>
      <c r="D17" s="140"/>
      <c r="E17" s="140" t="str">
        <f>'EBM00255'!C12</f>
        <v>Heatpipe THA.leia Gen3 D=6mm, L=250mm</v>
      </c>
      <c r="F17" s="140"/>
      <c r="G17" s="140"/>
      <c r="H17" s="140"/>
      <c r="I17" s="140"/>
      <c r="J17" s="115"/>
      <c r="K17" s="115"/>
      <c r="L17" s="141" t="str">
        <f>IF(INDEX('EBM00255'!B:B,MATCH(E17,'EBM00255'!C:C,0))=0,"",INDEX('EBM00255'!B:B,MATCH(E17,'EBM00255'!C:C,0)))</f>
        <v>7300144M-1</v>
      </c>
      <c r="M17" s="147"/>
      <c r="N17" s="141">
        <f>VLOOKUP(L17,'EBM00255'!B:F,3,FALSE)</f>
        <v>2</v>
      </c>
      <c r="O17" s="144" t="str">
        <f>IFERROR(VLOOKUP(L17,#REF!,4,FALSE),"")</f>
        <v/>
      </c>
      <c r="P17" s="372">
        <f>IFERROR(VLOOKUP(L17,'EBM00255'!$B:$F,4,),)</f>
        <v>4.7901234567901234</v>
      </c>
      <c r="Q17" s="140"/>
      <c r="R17" s="31"/>
      <c r="S17" s="32"/>
      <c r="U17" s="84">
        <f t="shared" si="0"/>
        <v>9.5802469135802468</v>
      </c>
      <c r="V17" s="84"/>
      <c r="W17" s="82"/>
      <c r="X17" s="136"/>
    </row>
    <row r="18" spans="3:24" s="131" customFormat="1" x14ac:dyDescent="0.25">
      <c r="C18" s="139"/>
      <c r="D18" s="140"/>
      <c r="E18" s="140" t="str">
        <f>'EBM00255'!C13</f>
        <v>Potential Ausgleichsbolzen 15mm (Set)</v>
      </c>
      <c r="F18" s="140"/>
      <c r="G18" s="140"/>
      <c r="H18" s="140"/>
      <c r="I18" s="140"/>
      <c r="J18" s="115"/>
      <c r="K18" s="115"/>
      <c r="L18" s="141">
        <f>IF(INDEX('EBM00255'!B:B,MATCH(E18,'EBM00255'!C:C,0))=0,"",INDEX('EBM00255'!B:B,MATCH(E18,'EBM00255'!C:C,0)))</f>
        <v>2090064</v>
      </c>
      <c r="M18" s="147"/>
      <c r="N18" s="141">
        <f>VLOOKUP(L18,'EBM00255'!B:F,3,FALSE)</f>
        <v>1</v>
      </c>
      <c r="O18" s="144" t="str">
        <f>IFERROR(VLOOKUP(L18,#REF!,4,FALSE),"")</f>
        <v/>
      </c>
      <c r="P18" s="372">
        <f>IFERROR(VLOOKUP(L18,'EBM00255'!$B:$F,4,),)</f>
        <v>0.8271604938271605</v>
      </c>
      <c r="Q18" s="140"/>
      <c r="R18" s="31"/>
      <c r="S18" s="32"/>
      <c r="U18" s="84">
        <f t="shared" si="0"/>
        <v>0.8271604938271605</v>
      </c>
      <c r="V18" s="84"/>
      <c r="W18" s="82"/>
      <c r="X18" s="136"/>
    </row>
    <row r="19" spans="3:24" s="131" customFormat="1" x14ac:dyDescent="0.25">
      <c r="C19" s="139"/>
      <c r="D19" s="140"/>
      <c r="E19" s="140" t="str">
        <f>'EBM00255'!C14</f>
        <v>POAG-Set Selbstsichernde Mutter M6 VA</v>
      </c>
      <c r="F19" s="140"/>
      <c r="G19" s="140"/>
      <c r="H19" s="140"/>
      <c r="I19" s="140"/>
      <c r="J19" s="115"/>
      <c r="K19" s="115"/>
      <c r="L19" s="141" t="str">
        <f>IF(INDEX('EBM00255'!B:B,MATCH(E19,'EBM00255'!C:C,0))=0,"",INDEX('EBM00255'!B:B,MATCH(E19,'EBM00255'!C:C,0)))</f>
        <v>7000043M</v>
      </c>
      <c r="M19" s="147"/>
      <c r="N19" s="141">
        <f>VLOOKUP(L19,'EBM00255'!B:F,3,FALSE)</f>
        <v>1</v>
      </c>
      <c r="O19" s="144" t="str">
        <f>IFERROR(VLOOKUP(L19,#REF!,4,FALSE),"")</f>
        <v/>
      </c>
      <c r="P19" s="372">
        <f>IFERROR(VLOOKUP(L19,'EBM00255'!$B:$F,4,),)</f>
        <v>0</v>
      </c>
      <c r="Q19" s="140"/>
      <c r="R19" s="31"/>
      <c r="S19" s="32"/>
      <c r="U19" s="84">
        <f t="shared" si="0"/>
        <v>0</v>
      </c>
      <c r="V19" s="84"/>
      <c r="W19" s="82"/>
      <c r="X19" s="136"/>
    </row>
    <row r="20" spans="3:24" s="131" customFormat="1" x14ac:dyDescent="0.25">
      <c r="C20" s="139"/>
      <c r="D20" s="140"/>
      <c r="E20" s="140" t="str">
        <f>'EBM00255'!C15</f>
        <v>Erdungsleitung MCD AC³ POAG -&gt; E-Bolzen 150mm M6</v>
      </c>
      <c r="F20" s="140"/>
      <c r="G20" s="140"/>
      <c r="H20" s="140"/>
      <c r="I20" s="140"/>
      <c r="J20" s="115"/>
      <c r="K20" s="115"/>
      <c r="L20" s="141" t="str">
        <f>IF(INDEX('EBM00255'!B:B,MATCH(E20,'EBM00255'!C:C,0))=0,"",INDEX('EBM00255'!B:B,MATCH(E20,'EBM00255'!C:C,0)))</f>
        <v>7100215M</v>
      </c>
      <c r="M20" s="147"/>
      <c r="N20" s="141">
        <f>VLOOKUP(L20,'EBM00255'!B:F,3,FALSE)</f>
        <v>1</v>
      </c>
      <c r="O20" s="144" t="str">
        <f>IFERROR(VLOOKUP(L20,#REF!,4,FALSE),"")</f>
        <v/>
      </c>
      <c r="P20" s="372">
        <f>IFERROR(VLOOKUP(L20,'EBM00255'!$B:$F,4,),)</f>
        <v>0.33333333333333331</v>
      </c>
      <c r="Q20" s="140"/>
      <c r="R20" s="31"/>
      <c r="S20" s="32"/>
      <c r="U20" s="84">
        <f t="shared" si="0"/>
        <v>0.33333333333333331</v>
      </c>
      <c r="V20" s="84"/>
      <c r="W20" s="82"/>
      <c r="X20" s="136"/>
    </row>
    <row r="21" spans="3:24" s="131" customFormat="1" x14ac:dyDescent="0.25">
      <c r="C21" s="139"/>
      <c r="D21" s="140"/>
      <c r="E21" s="140" t="str">
        <f>'EBM00255'!C16</f>
        <v>Kabelbaum MCD TL Gen3 12V für D3243-S</v>
      </c>
      <c r="F21" s="140"/>
      <c r="G21" s="140"/>
      <c r="H21" s="140"/>
      <c r="I21" s="140"/>
      <c r="J21" s="115"/>
      <c r="K21" s="115"/>
      <c r="L21" s="141" t="str">
        <f>IF(INDEX('EBM00255'!B:B,MATCH(E21,'EBM00255'!C:C,0))=0,"",INDEX('EBM00255'!B:B,MATCH(E21,'EBM00255'!C:C,0)))</f>
        <v>7100155M</v>
      </c>
      <c r="M21" s="147"/>
      <c r="N21" s="141">
        <f>VLOOKUP(L21,'EBM00255'!B:F,3,FALSE)</f>
        <v>1</v>
      </c>
      <c r="O21" s="144" t="str">
        <f>IFERROR(VLOOKUP(L21,#REF!,4,FALSE),"")</f>
        <v/>
      </c>
      <c r="P21" s="372">
        <f>IFERROR(VLOOKUP(L21,'EBM00255'!$B:$F,4,),)</f>
        <v>16.123456790123456</v>
      </c>
      <c r="Q21" s="140"/>
      <c r="R21" s="31"/>
      <c r="S21" s="32"/>
      <c r="U21" s="84">
        <f t="shared" si="0"/>
        <v>16.123456790123456</v>
      </c>
      <c r="V21" s="84"/>
      <c r="W21" s="82"/>
      <c r="X21" s="136"/>
    </row>
    <row r="22" spans="3:24" s="131" customFormat="1" x14ac:dyDescent="0.25">
      <c r="C22" s="139"/>
      <c r="D22" s="140"/>
      <c r="E22" s="140" t="str">
        <f>'EBM00255'!C17</f>
        <v>Kabelbinder Schwarz 2.6x135mm</v>
      </c>
      <c r="F22" s="140"/>
      <c r="G22" s="140"/>
      <c r="H22" s="140"/>
      <c r="I22" s="140"/>
      <c r="J22" s="115"/>
      <c r="K22" s="115"/>
      <c r="L22" s="141" t="str">
        <f>IF(INDEX('EBM00255'!B:B,MATCH(E22,'EBM00255'!C:C,0))=0,"",INDEX('EBM00255'!B:B,MATCH(E22,'EBM00255'!C:C,0)))</f>
        <v>7000007M</v>
      </c>
      <c r="M22" s="147"/>
      <c r="N22" s="141">
        <f>VLOOKUP(L22,'EBM00255'!B:F,3,FALSE)</f>
        <v>8</v>
      </c>
      <c r="O22" s="144" t="str">
        <f>IFERROR(VLOOKUP(L22,#REF!,4,FALSE),"")</f>
        <v/>
      </c>
      <c r="P22" s="372">
        <f>IFERROR(VLOOKUP(L22,'EBM00255'!$B:$F,4,),)</f>
        <v>2.4691358024691357E-2</v>
      </c>
      <c r="Q22" s="140"/>
      <c r="R22" s="31"/>
      <c r="S22" s="32"/>
      <c r="U22" s="84">
        <f t="shared" si="0"/>
        <v>0.19753086419753085</v>
      </c>
      <c r="V22" s="84"/>
      <c r="W22" s="82"/>
      <c r="X22" s="136"/>
    </row>
    <row r="23" spans="3:24" s="131" customFormat="1" x14ac:dyDescent="0.25">
      <c r="C23" s="139"/>
      <c r="D23" s="140"/>
      <c r="E23" s="140" t="str">
        <f>'EBM00255'!C18</f>
        <v>Kabel SATA 50cm gerade/gerade mit Clip</v>
      </c>
      <c r="F23" s="140"/>
      <c r="G23" s="140"/>
      <c r="H23" s="140"/>
      <c r="I23" s="140"/>
      <c r="J23" s="115"/>
      <c r="K23" s="115"/>
      <c r="L23" s="141" t="str">
        <f>IF(INDEX('EBM00255'!B:B,MATCH(E23,'EBM00255'!C:C,0))=0,"",INDEX('EBM00255'!B:B,MATCH(E23,'EBM00255'!C:C,0)))</f>
        <v>7100138M</v>
      </c>
      <c r="M23" s="147"/>
      <c r="N23" s="141">
        <f>SUM(N66,N69,N72)</f>
        <v>1</v>
      </c>
      <c r="O23" s="144" t="str">
        <f>IFERROR(VLOOKUP(L23,#REF!,4,FALSE),"")</f>
        <v/>
      </c>
      <c r="P23" s="372">
        <f>IFERROR(VLOOKUP(L23,'EBM00255'!$B:$F,4,),)</f>
        <v>1.0246913580246912</v>
      </c>
      <c r="Q23" s="140"/>
      <c r="R23" s="31"/>
      <c r="S23" s="32"/>
      <c r="U23" s="84">
        <f t="shared" si="0"/>
        <v>1.0246913580246912</v>
      </c>
      <c r="V23" s="84"/>
      <c r="W23" s="82"/>
      <c r="X23" s="136"/>
    </row>
    <row r="24" spans="3:24" s="131" customFormat="1" x14ac:dyDescent="0.25">
      <c r="C24" s="139"/>
      <c r="D24" s="140"/>
      <c r="E24" s="140" t="str">
        <f>'EBM00255'!C19</f>
        <v>AC³ Kontaktscheibe M6</v>
      </c>
      <c r="F24" s="140"/>
      <c r="G24" s="140"/>
      <c r="H24" s="140"/>
      <c r="I24" s="140"/>
      <c r="J24" s="115"/>
      <c r="K24" s="115"/>
      <c r="L24" s="141" t="str">
        <f>IF(INDEX('EBM00255'!B:B,MATCH(E24,'EBM00255'!C:C,0))=0,"",INDEX('EBM00255'!B:B,MATCH(E24,'EBM00255'!C:C,0)))</f>
        <v>7000135M</v>
      </c>
      <c r="M24" s="147"/>
      <c r="N24" s="141">
        <f>VLOOKUP(L24,'EBM00255'!B:F,3,FALSE)</f>
        <v>1</v>
      </c>
      <c r="O24" s="144" t="str">
        <f>IFERROR(VLOOKUP(L24,#REF!,4,FALSE),"")</f>
        <v/>
      </c>
      <c r="P24" s="372">
        <f>IFERROR(VLOOKUP(L24,'EBM00255'!$B:$F,4,),)</f>
        <v>0</v>
      </c>
      <c r="Q24" s="140"/>
      <c r="R24" s="31"/>
      <c r="S24" s="32"/>
      <c r="U24" s="84">
        <f t="shared" si="0"/>
        <v>0</v>
      </c>
      <c r="V24" s="84"/>
      <c r="W24" s="82"/>
      <c r="X24" s="136"/>
    </row>
    <row r="25" spans="3:24" s="131" customFormat="1" x14ac:dyDescent="0.25">
      <c r="C25" s="139"/>
      <c r="D25" s="140"/>
      <c r="E25" s="140" t="str">
        <f>'EBM00255'!C20</f>
        <v>AC³ Mutter M6</v>
      </c>
      <c r="F25" s="140"/>
      <c r="G25" s="140"/>
      <c r="H25" s="140"/>
      <c r="I25" s="140"/>
      <c r="J25" s="115"/>
      <c r="K25" s="115"/>
      <c r="L25" s="141" t="str">
        <f>IF(INDEX('EBM00255'!B:B,MATCH(E25,'EBM00255'!C:C,0))=0,"",INDEX('EBM00255'!B:B,MATCH(E25,'EBM00255'!C:C,0)))</f>
        <v>7000136M</v>
      </c>
      <c r="M25" s="147"/>
      <c r="N25" s="141">
        <f>VLOOKUP(L25,'EBM00255'!B:F,3,FALSE)</f>
        <v>1</v>
      </c>
      <c r="O25" s="144" t="str">
        <f>IFERROR(VLOOKUP(L25,#REF!,4,FALSE),"")</f>
        <v/>
      </c>
      <c r="P25" s="372">
        <f>IFERROR(VLOOKUP(L25,'EBM00255'!$B:$F,4,),)</f>
        <v>0</v>
      </c>
      <c r="Q25" s="140"/>
      <c r="R25" s="31"/>
      <c r="S25" s="32"/>
      <c r="U25" s="84">
        <f t="shared" si="0"/>
        <v>0</v>
      </c>
      <c r="V25" s="84"/>
      <c r="W25" s="82"/>
      <c r="X25" s="136"/>
    </row>
    <row r="26" spans="3:24" s="131" customFormat="1" x14ac:dyDescent="0.25">
      <c r="C26" s="139"/>
      <c r="D26" s="140"/>
      <c r="E26" s="140" t="str">
        <f>'EBM00255'!C21</f>
        <v>AC³ U-Scheibe M6</v>
      </c>
      <c r="F26" s="140"/>
      <c r="G26" s="140"/>
      <c r="H26" s="140"/>
      <c r="I26" s="140"/>
      <c r="J26" s="115"/>
      <c r="K26" s="115"/>
      <c r="L26" s="141" t="str">
        <f>IF(INDEX('EBM00255'!B:B,MATCH(E26,'EBM00255'!C:C,0))=0,"",INDEX('EBM00255'!B:B,MATCH(E26,'EBM00255'!C:C,0)))</f>
        <v>7000137M</v>
      </c>
      <c r="M26" s="147"/>
      <c r="N26" s="141">
        <f>VLOOKUP(L26,'EBM00255'!B:F,3,FALSE)</f>
        <v>1</v>
      </c>
      <c r="O26" s="144" t="str">
        <f>IFERROR(VLOOKUP(L26,#REF!,4,FALSE),"")</f>
        <v/>
      </c>
      <c r="P26" s="372">
        <f>IFERROR(VLOOKUP(L26,'EBM00255'!$B:$F,4,),)</f>
        <v>0</v>
      </c>
      <c r="Q26" s="140"/>
      <c r="R26" s="31"/>
      <c r="S26" s="32"/>
      <c r="U26" s="84">
        <f t="shared" si="0"/>
        <v>0</v>
      </c>
      <c r="V26" s="84"/>
      <c r="W26" s="82"/>
      <c r="X26" s="136"/>
    </row>
    <row r="27" spans="3:24" s="131" customFormat="1" x14ac:dyDescent="0.25">
      <c r="C27" s="139"/>
      <c r="D27" s="140"/>
      <c r="E27" s="140" t="str">
        <f>'EBM00255'!C22</f>
        <v>AC³ Linsenkopfschraube M3x8, Torx</v>
      </c>
      <c r="F27" s="140"/>
      <c r="G27" s="140"/>
      <c r="H27" s="140"/>
      <c r="I27" s="140"/>
      <c r="J27" s="115"/>
      <c r="K27" s="115"/>
      <c r="L27" s="141" t="str">
        <f>IF(INDEX('EBM00255'!B:B,MATCH(E27,'EBM00255'!C:C,0))=0,"",INDEX('EBM00255'!B:B,MATCH(E27,'EBM00255'!C:C,0)))</f>
        <v>7000138M</v>
      </c>
      <c r="M27" s="147"/>
      <c r="N27" s="141">
        <f>8+2*N115</f>
        <v>8</v>
      </c>
      <c r="O27" s="144" t="str">
        <f>IFERROR(VLOOKUP(L27,#REF!,4,FALSE),"")</f>
        <v/>
      </c>
      <c r="P27" s="372">
        <f>IFERROR(VLOOKUP(L27,'EBM00255'!$B:$F,4,),)</f>
        <v>0</v>
      </c>
      <c r="Q27" s="140"/>
      <c r="R27" s="31"/>
      <c r="S27" s="32"/>
      <c r="U27" s="84">
        <f t="shared" si="0"/>
        <v>0</v>
      </c>
      <c r="V27" s="84"/>
      <c r="W27" s="82"/>
      <c r="X27" s="136"/>
    </row>
    <row r="28" spans="3:24" s="131" customFormat="1" x14ac:dyDescent="0.25">
      <c r="C28" s="139"/>
      <c r="D28" s="140"/>
      <c r="E28" s="140" t="str">
        <f>'EBM00255'!C23</f>
        <v>AC³ Federring M6</v>
      </c>
      <c r="F28" s="140"/>
      <c r="G28" s="140"/>
      <c r="H28" s="140"/>
      <c r="I28" s="140"/>
      <c r="J28" s="115"/>
      <c r="K28" s="115"/>
      <c r="L28" s="141" t="str">
        <f>IF(INDEX('EBM00255'!B:B,MATCH(E28,'EBM00255'!C:C,0))=0,"",INDEX('EBM00255'!B:B,MATCH(E28,'EBM00255'!C:C,0)))</f>
        <v>7000139M</v>
      </c>
      <c r="M28" s="147"/>
      <c r="N28" s="141">
        <f>VLOOKUP(L28,'EBM00255'!B:F,3,FALSE)</f>
        <v>1</v>
      </c>
      <c r="O28" s="144" t="str">
        <f>IFERROR(VLOOKUP(L28,#REF!,4,FALSE),"")</f>
        <v/>
      </c>
      <c r="P28" s="372">
        <f>IFERROR(VLOOKUP(L28,'EBM00255'!$B:$F,4,),)</f>
        <v>0</v>
      </c>
      <c r="Q28" s="140"/>
      <c r="R28" s="31"/>
      <c r="S28" s="32"/>
      <c r="U28" s="84">
        <f t="shared" si="0"/>
        <v>0</v>
      </c>
      <c r="V28" s="84"/>
      <c r="W28" s="82"/>
      <c r="X28" s="136"/>
    </row>
    <row r="29" spans="3:24" s="131" customFormat="1" x14ac:dyDescent="0.25">
      <c r="C29" s="139"/>
      <c r="D29" s="140"/>
      <c r="E29" s="140" t="str">
        <f>'EBM00255'!C24</f>
        <v>AC³ Durchführungstülle</v>
      </c>
      <c r="F29" s="140"/>
      <c r="G29" s="140"/>
      <c r="H29" s="140"/>
      <c r="I29" s="140"/>
      <c r="J29" s="115"/>
      <c r="K29" s="115"/>
      <c r="L29" s="141" t="str">
        <f>IF(INDEX('EBM00255'!B:B,MATCH(E29,'EBM00255'!C:C,0))=0,"",INDEX('EBM00255'!B:B,MATCH(E29,'EBM00255'!C:C,0)))</f>
        <v>7000140M</v>
      </c>
      <c r="M29" s="147"/>
      <c r="N29" s="141">
        <f>VLOOKUP(L29,'EBM00255'!B:F,3,FALSE)</f>
        <v>4</v>
      </c>
      <c r="O29" s="144" t="str">
        <f>IFERROR(VLOOKUP(L29,#REF!,4,FALSE),"")</f>
        <v/>
      </c>
      <c r="P29" s="372">
        <f>IFERROR(VLOOKUP(L29,'EBM00255'!$B:$F,4,),)</f>
        <v>0</v>
      </c>
      <c r="Q29" s="140"/>
      <c r="R29" s="31"/>
      <c r="S29" s="32"/>
      <c r="U29" s="84">
        <f t="shared" si="0"/>
        <v>0</v>
      </c>
      <c r="V29" s="84"/>
      <c r="W29" s="82"/>
      <c r="X29" s="136"/>
    </row>
    <row r="30" spans="3:24" s="131" customFormat="1" x14ac:dyDescent="0.25">
      <c r="C30" s="139"/>
      <c r="D30" s="140"/>
      <c r="E30" s="140" t="str">
        <f>'EBM00255'!C25</f>
        <v>AC³ Linsenkopfschraube M3x4, Torx</v>
      </c>
      <c r="F30" s="140"/>
      <c r="G30" s="140"/>
      <c r="H30" s="140"/>
      <c r="I30" s="140"/>
      <c r="J30" s="115"/>
      <c r="K30" s="115"/>
      <c r="L30" s="141" t="str">
        <f>IF(INDEX('EBM00255'!B:B,MATCH(E30,'EBM00255'!C:C,0))=0,"",INDEX('EBM00255'!B:B,MATCH(E30,'EBM00255'!C:C,0)))</f>
        <v>7000141M</v>
      </c>
      <c r="M30" s="147"/>
      <c r="N30" s="141">
        <f>IF(E96="---",7,5)</f>
        <v>7</v>
      </c>
      <c r="O30" s="144" t="str">
        <f>IFERROR(VLOOKUP(L30,#REF!,4,FALSE),"")</f>
        <v/>
      </c>
      <c r="P30" s="372">
        <f>IFERROR(VLOOKUP(L30,'EBM00255'!$B:$F,4,),)</f>
        <v>0</v>
      </c>
      <c r="Q30" s="140"/>
      <c r="R30" s="31"/>
      <c r="S30" s="32"/>
      <c r="U30" s="84">
        <f t="shared" si="0"/>
        <v>0</v>
      </c>
      <c r="V30" s="84"/>
      <c r="W30" s="82"/>
      <c r="X30" s="136"/>
    </row>
    <row r="31" spans="3:24" s="131" customFormat="1" x14ac:dyDescent="0.25">
      <c r="C31" s="139"/>
      <c r="D31" s="140"/>
      <c r="E31" s="140" t="str">
        <f>'EBM00255'!C26</f>
        <v>AC³ Senkkopfschraube M3x8, Torx</v>
      </c>
      <c r="F31" s="140"/>
      <c r="G31" s="140"/>
      <c r="H31" s="140"/>
      <c r="I31" s="140"/>
      <c r="J31" s="115"/>
      <c r="K31" s="115"/>
      <c r="L31" s="141" t="str">
        <f>IF(INDEX('EBM00255'!B:B,MATCH(E31,'EBM00255'!C:C,0))=0,"",INDEX('EBM00255'!B:B,MATCH(E31,'EBM00255'!C:C,0)))</f>
        <v>7000142M</v>
      </c>
      <c r="M31" s="147"/>
      <c r="N31" s="141">
        <f>IF(E54="externes Netzteil",10,14)</f>
        <v>14</v>
      </c>
      <c r="O31" s="144" t="str">
        <f>IFERROR(VLOOKUP(L31,#REF!,4,FALSE),"")</f>
        <v/>
      </c>
      <c r="P31" s="372">
        <f>IFERROR(VLOOKUP(L31,'EBM00255'!$B:$F,4,),)</f>
        <v>0</v>
      </c>
      <c r="Q31" s="140"/>
      <c r="R31" s="31"/>
      <c r="S31" s="32"/>
      <c r="U31" s="84">
        <f t="shared" si="0"/>
        <v>0</v>
      </c>
      <c r="V31" s="84"/>
      <c r="W31" s="82"/>
      <c r="X31" s="136"/>
    </row>
    <row r="32" spans="3:24" s="131" customFormat="1" x14ac:dyDescent="0.25">
      <c r="C32" s="139"/>
      <c r="D32" s="140"/>
      <c r="E32" s="140" t="str">
        <f>'EBM00255'!C27</f>
        <v>AC³ Linsenkopfschraube M3x6, Torx</v>
      </c>
      <c r="F32" s="140"/>
      <c r="G32" s="140"/>
      <c r="H32" s="140"/>
      <c r="I32" s="140"/>
      <c r="J32" s="115"/>
      <c r="K32" s="115"/>
      <c r="L32" s="141" t="str">
        <f>IF(INDEX('EBM00255'!B:B,MATCH(E32,'EBM00255'!C:C,0))=0,"",INDEX('EBM00255'!B:B,MATCH(E32,'EBM00255'!C:C,0)))</f>
        <v>7000144M</v>
      </c>
      <c r="M32" s="147"/>
      <c r="N32" s="141">
        <f>VLOOKUP(L32,'EBM00255'!B:F,3,FALSE)</f>
        <v>9</v>
      </c>
      <c r="O32" s="144" t="str">
        <f>IFERROR(VLOOKUP(L32,#REF!,4,FALSE),"")</f>
        <v/>
      </c>
      <c r="P32" s="372">
        <f>IFERROR(VLOOKUP(L32,'EBM00255'!$B:$F,4,),)</f>
        <v>0</v>
      </c>
      <c r="Q32" s="140"/>
      <c r="R32" s="31"/>
      <c r="S32" s="32"/>
      <c r="U32" s="84">
        <f t="shared" si="0"/>
        <v>0</v>
      </c>
      <c r="V32" s="84"/>
      <c r="W32" s="82"/>
      <c r="X32" s="136"/>
    </row>
    <row r="33" spans="3:24" s="131" customFormat="1" x14ac:dyDescent="0.25">
      <c r="C33" s="139"/>
      <c r="D33" s="140"/>
      <c r="E33" s="140" t="str">
        <f>'EBM00255'!C28</f>
        <v>AC³ Senkkopfschraube M3x12</v>
      </c>
      <c r="F33" s="140"/>
      <c r="G33" s="140"/>
      <c r="H33" s="140"/>
      <c r="I33" s="140"/>
      <c r="J33" s="115"/>
      <c r="K33" s="115"/>
      <c r="L33" s="141" t="str">
        <f>IF(INDEX('EBM00255'!B:B,MATCH(E33,'EBM00255'!C:C,0))=0,"",INDEX('EBM00255'!B:B,MATCH(E33,'EBM00255'!C:C,0)))</f>
        <v>7000145M</v>
      </c>
      <c r="M33" s="147"/>
      <c r="N33" s="141">
        <f>VLOOKUP(L33,'EBM00255'!B:F,3,FALSE)</f>
        <v>5</v>
      </c>
      <c r="O33" s="144" t="str">
        <f>IFERROR(VLOOKUP(L33,#REF!,4,FALSE),"")</f>
        <v/>
      </c>
      <c r="P33" s="372">
        <f>IFERROR(VLOOKUP(L33,'EBM00255'!$B:$F,4,),)</f>
        <v>0</v>
      </c>
      <c r="Q33" s="140"/>
      <c r="R33" s="31"/>
      <c r="S33" s="32"/>
      <c r="U33" s="84">
        <f t="shared" si="0"/>
        <v>0</v>
      </c>
      <c r="V33" s="84"/>
      <c r="W33" s="82"/>
      <c r="X33" s="136"/>
    </row>
    <row r="34" spans="3:24" s="131" customFormat="1" x14ac:dyDescent="0.25">
      <c r="C34" s="139"/>
      <c r="D34" s="140"/>
      <c r="E34" s="140" t="str">
        <f>'EBM00255'!C29</f>
        <v>AC³ Gewindebuchse M3x100, Stahl</v>
      </c>
      <c r="F34" s="140"/>
      <c r="G34" s="140"/>
      <c r="H34" s="140"/>
      <c r="I34" s="140"/>
      <c r="J34" s="115"/>
      <c r="K34" s="115"/>
      <c r="L34" s="141" t="str">
        <f>IF(INDEX('EBM00255'!B:B,MATCH(E34,'EBM00255'!C:C,0))=0,"",INDEX('EBM00255'!B:B,MATCH(E34,'EBM00255'!C:C,0)))</f>
        <v>7000146M</v>
      </c>
      <c r="M34" s="147"/>
      <c r="N34" s="141">
        <f>VLOOKUP(L34,'EBM00255'!B:F,3,FALSE)</f>
        <v>5</v>
      </c>
      <c r="O34" s="144" t="str">
        <f>IFERROR(VLOOKUP(L34,#REF!,4,FALSE),"")</f>
        <v/>
      </c>
      <c r="P34" s="372">
        <f>IFERROR(VLOOKUP(L34,'EBM00255'!$B:$F,4,),)</f>
        <v>0</v>
      </c>
      <c r="Q34" s="140"/>
      <c r="R34" s="31"/>
      <c r="S34" s="32"/>
      <c r="U34" s="84">
        <f t="shared" si="0"/>
        <v>0</v>
      </c>
      <c r="V34" s="84"/>
      <c r="W34" s="82"/>
      <c r="X34" s="136"/>
    </row>
    <row r="35" spans="3:24" s="131" customFormat="1" x14ac:dyDescent="0.25">
      <c r="C35" s="139"/>
      <c r="D35" s="140"/>
      <c r="E35" s="140" t="str">
        <f>'EBM00255'!C30</f>
        <v>AC³ Schraube gewindeformend M3x12</v>
      </c>
      <c r="F35" s="140"/>
      <c r="G35" s="140"/>
      <c r="H35" s="140"/>
      <c r="I35" s="140"/>
      <c r="J35" s="115"/>
      <c r="K35" s="115"/>
      <c r="L35" s="141" t="str">
        <f>IF(INDEX('EBM00255'!B:B,MATCH(E35,'EBM00255'!C:C,0))=0,"",INDEX('EBM00255'!B:B,MATCH(E35,'EBM00255'!C:C,0)))</f>
        <v>7000147M</v>
      </c>
      <c r="M35" s="147"/>
      <c r="N35" s="141">
        <f>VLOOKUP(L35,'EBM00255'!B:F,3,FALSE)</f>
        <v>4</v>
      </c>
      <c r="O35" s="144" t="str">
        <f>IFERROR(VLOOKUP(L35,#REF!,4,FALSE),"")</f>
        <v/>
      </c>
      <c r="P35" s="372">
        <f>IFERROR(VLOOKUP(L35,'EBM00255'!$B:$F,4,),)</f>
        <v>0</v>
      </c>
      <c r="Q35" s="140"/>
      <c r="R35" s="31"/>
      <c r="S35" s="32"/>
      <c r="U35" s="84">
        <f t="shared" si="0"/>
        <v>0</v>
      </c>
      <c r="V35" s="84"/>
      <c r="W35" s="82"/>
      <c r="X35" s="136"/>
    </row>
    <row r="36" spans="3:24" s="131" customFormat="1" x14ac:dyDescent="0.25">
      <c r="C36" s="139"/>
      <c r="D36" s="140"/>
      <c r="E36" s="140" t="str">
        <f>'EBM00255'!C31</f>
        <v>AC³ Puffer, schwarz</v>
      </c>
      <c r="F36" s="140"/>
      <c r="G36" s="140"/>
      <c r="H36" s="140"/>
      <c r="I36" s="140"/>
      <c r="J36" s="115"/>
      <c r="K36" s="115"/>
      <c r="L36" s="141" t="str">
        <f>IF(INDEX('EBM00255'!B:B,MATCH(E36,'EBM00255'!C:C,0))=0,"",INDEX('EBM00255'!B:B,MATCH(E36,'EBM00255'!C:C,0)))</f>
        <v>7000148M</v>
      </c>
      <c r="M36" s="147"/>
      <c r="N36" s="141">
        <f>VLOOKUP(L36,'EBM00255'!B:F,3,FALSE)</f>
        <v>4</v>
      </c>
      <c r="O36" s="144" t="str">
        <f>IFERROR(VLOOKUP(L36,#REF!,4,FALSE),"")</f>
        <v/>
      </c>
      <c r="P36" s="372">
        <f>IFERROR(VLOOKUP(L36,'EBM00255'!$B:$F,4,),)</f>
        <v>0</v>
      </c>
      <c r="Q36" s="140"/>
      <c r="R36" s="31"/>
      <c r="S36" s="32"/>
      <c r="U36" s="84">
        <f t="shared" si="0"/>
        <v>0</v>
      </c>
      <c r="V36" s="84"/>
      <c r="W36" s="82"/>
      <c r="X36" s="136"/>
    </row>
    <row r="37" spans="3:24" s="131" customFormat="1" x14ac:dyDescent="0.25">
      <c r="C37" s="139"/>
      <c r="D37" s="140"/>
      <c r="E37" s="140" t="str">
        <f>'EBM00255'!C32</f>
        <v>AC³ Linsenkopfschraube M3x10, Torx</v>
      </c>
      <c r="F37" s="140"/>
      <c r="G37" s="140"/>
      <c r="H37" s="140"/>
      <c r="I37" s="140"/>
      <c r="J37" s="115"/>
      <c r="K37" s="115"/>
      <c r="L37" s="141" t="str">
        <f>IF(INDEX('EBM00255'!B:B,MATCH(E37,'EBM00255'!C:C,0))=0,"",INDEX('EBM00255'!B:B,MATCH(E37,'EBM00255'!C:C,0)))</f>
        <v>7000150M</v>
      </c>
      <c r="M37" s="147"/>
      <c r="N37" s="141">
        <f>VLOOKUP(L37,'EBM00255'!B:F,3,FALSE)</f>
        <v>4</v>
      </c>
      <c r="O37" s="144" t="str">
        <f>IFERROR(VLOOKUP(L37,#REF!,4,FALSE),"")</f>
        <v/>
      </c>
      <c r="P37" s="372">
        <f>IFERROR(VLOOKUP(L37,'EBM00255'!$B:$F,4,),)</f>
        <v>0</v>
      </c>
      <c r="Q37" s="140"/>
      <c r="R37" s="31"/>
      <c r="S37" s="32"/>
      <c r="U37" s="84">
        <f t="shared" si="0"/>
        <v>0</v>
      </c>
      <c r="V37" s="84"/>
      <c r="W37" s="82"/>
      <c r="X37" s="136"/>
    </row>
    <row r="38" spans="3:24" s="131" customFormat="1" x14ac:dyDescent="0.25">
      <c r="C38" s="139"/>
      <c r="D38" s="140"/>
      <c r="E38" s="140" t="str">
        <f>'EBM00255'!C33</f>
        <v>AC³ U-Scheibe 3,2, Torx</v>
      </c>
      <c r="F38" s="140"/>
      <c r="G38" s="140"/>
      <c r="H38" s="140"/>
      <c r="I38" s="140"/>
      <c r="J38" s="115"/>
      <c r="K38" s="115"/>
      <c r="L38" s="141" t="str">
        <f>IF(INDEX('EBM00255'!B:B,MATCH(E38,'EBM00255'!C:C,0))=0,"",INDEX('EBM00255'!B:B,MATCH(E38,'EBM00255'!C:C,0)))</f>
        <v>7000151M</v>
      </c>
      <c r="M38" s="147"/>
      <c r="N38" s="141">
        <f>VLOOKUP(L38,'EBM00255'!B:F,3,FALSE)</f>
        <v>4</v>
      </c>
      <c r="O38" s="144" t="str">
        <f>IFERROR(VLOOKUP(L38,#REF!,4,FALSE),"")</f>
        <v/>
      </c>
      <c r="P38" s="372">
        <f>IFERROR(VLOOKUP(L38,'EBM00255'!$B:$F,4,),)</f>
        <v>0</v>
      </c>
      <c r="Q38" s="140"/>
      <c r="R38" s="31"/>
      <c r="S38" s="32"/>
      <c r="U38" s="84">
        <f t="shared" si="0"/>
        <v>0</v>
      </c>
      <c r="V38" s="84"/>
      <c r="W38" s="82"/>
      <c r="X38" s="136"/>
    </row>
    <row r="39" spans="3:24" s="131" customFormat="1" x14ac:dyDescent="0.25">
      <c r="C39" s="139"/>
      <c r="D39" s="140"/>
      <c r="E39" s="140" t="str">
        <f>'EBM00255'!C34</f>
        <v>AC³ Zylinderschraube M4x10</v>
      </c>
      <c r="F39" s="140"/>
      <c r="G39" s="140"/>
      <c r="H39" s="140"/>
      <c r="I39" s="140"/>
      <c r="J39" s="115"/>
      <c r="K39" s="115"/>
      <c r="L39" s="141" t="str">
        <f>IF(INDEX('EBM00255'!B:B,MATCH(E39,'EBM00255'!C:C,0))=0,"",INDEX('EBM00255'!B:B,MATCH(E39,'EBM00255'!C:C,0)))</f>
        <v>7000152M</v>
      </c>
      <c r="M39" s="147"/>
      <c r="N39" s="141">
        <f>VLOOKUP(L39,'EBM00255'!B:F,3,FALSE)</f>
        <v>3</v>
      </c>
      <c r="O39" s="144" t="str">
        <f>IFERROR(VLOOKUP(L39,#REF!,4,FALSE),"")</f>
        <v/>
      </c>
      <c r="P39" s="372">
        <f>IFERROR(VLOOKUP(L39,'EBM00255'!$B:$F,4,),)</f>
        <v>0</v>
      </c>
      <c r="Q39" s="140"/>
      <c r="R39" s="31"/>
      <c r="S39" s="32"/>
      <c r="U39" s="84">
        <f t="shared" si="0"/>
        <v>0</v>
      </c>
      <c r="V39" s="84"/>
      <c r="W39" s="82"/>
      <c r="X39" s="136"/>
    </row>
    <row r="40" spans="3:24" s="131" customFormat="1" x14ac:dyDescent="0.25">
      <c r="C40" s="139"/>
      <c r="D40" s="140"/>
      <c r="E40" s="140" t="str">
        <f>'EBM00255'!C35</f>
        <v>Umkarton AESCU.certus³ / PANA.ceia³</v>
      </c>
      <c r="F40" s="140"/>
      <c r="G40" s="140"/>
      <c r="H40" s="140"/>
      <c r="I40" s="140"/>
      <c r="J40" s="115"/>
      <c r="K40" s="115"/>
      <c r="L40" s="141" t="str">
        <f>IF(INDEX('EBM00255'!B:B,MATCH(E40,'EBM00255'!C:C,0))=0,"",INDEX('EBM00255'!B:B,MATCH(E40,'EBM00255'!C:C,0)))</f>
        <v>7200038M</v>
      </c>
      <c r="M40" s="147"/>
      <c r="N40" s="141">
        <f>VLOOKUP(L40,'EBM00255'!B:F,3,FALSE)</f>
        <v>1</v>
      </c>
      <c r="O40" s="144" t="str">
        <f>IFERROR(VLOOKUP(L40,#REF!,4,FALSE),"")</f>
        <v/>
      </c>
      <c r="P40" s="372">
        <f>IFERROR(VLOOKUP(L40,'EBM00255'!$B:$F,4,),)</f>
        <v>5.7901234567901234</v>
      </c>
      <c r="Q40" s="140"/>
      <c r="R40" s="31"/>
      <c r="S40" s="32"/>
      <c r="U40" s="84">
        <f t="shared" si="0"/>
        <v>5.7901234567901234</v>
      </c>
      <c r="V40" s="84"/>
      <c r="W40" s="82"/>
      <c r="X40" s="136"/>
    </row>
    <row r="41" spans="3:24" s="131" customFormat="1" x14ac:dyDescent="0.25">
      <c r="C41" s="139"/>
      <c r="D41" s="140"/>
      <c r="E41" s="140" t="str">
        <f>'EBM00255'!C36</f>
        <v>Schaumteile AESCU.certus³ / PANA.ceia³</v>
      </c>
      <c r="F41" s="140"/>
      <c r="G41" s="140"/>
      <c r="H41" s="140"/>
      <c r="I41" s="140"/>
      <c r="J41" s="115"/>
      <c r="K41" s="115"/>
      <c r="L41" s="141" t="str">
        <f>IF(INDEX('EBM00255'!B:B,MATCH(E41,'EBM00255'!C:C,0))=0,"",INDEX('EBM00255'!B:B,MATCH(E41,'EBM00255'!C:C,0)))</f>
        <v>7200039M</v>
      </c>
      <c r="M41" s="147"/>
      <c r="N41" s="141">
        <f>VLOOKUP(L41,'EBM00255'!B:F,3,FALSE)</f>
        <v>1</v>
      </c>
      <c r="O41" s="144" t="str">
        <f>IFERROR(VLOOKUP(L41,#REF!,4,FALSE),"")</f>
        <v/>
      </c>
      <c r="P41" s="372">
        <f>IFERROR(VLOOKUP(L41,'EBM00255'!$B:$F,4,),)</f>
        <v>7.1975308641975309</v>
      </c>
      <c r="Q41" s="140"/>
      <c r="R41" s="31"/>
      <c r="S41" s="32"/>
      <c r="U41" s="84">
        <f t="shared" si="0"/>
        <v>7.1975308641975309</v>
      </c>
      <c r="V41" s="84"/>
      <c r="W41" s="82"/>
      <c r="X41" s="136"/>
    </row>
    <row r="42" spans="3:24" s="131" customFormat="1" x14ac:dyDescent="0.25">
      <c r="C42" s="139"/>
      <c r="D42" s="140"/>
      <c r="E42" s="140" t="str">
        <f>'EBM00255'!C37</f>
        <v>Zubehörkarton AESCU.certus³ / PANA.ceia³</v>
      </c>
      <c r="F42" s="140"/>
      <c r="G42" s="140"/>
      <c r="H42" s="140"/>
      <c r="I42" s="140"/>
      <c r="J42" s="115"/>
      <c r="K42" s="115"/>
      <c r="L42" s="141" t="str">
        <f>IF(INDEX('EBM00255'!B:B,MATCH(E42,'EBM00255'!C:C,0))=0,"",INDEX('EBM00255'!B:B,MATCH(E42,'EBM00255'!C:C,0)))</f>
        <v>7200040M</v>
      </c>
      <c r="M42" s="147"/>
      <c r="N42" s="141">
        <f>VLOOKUP(L42,'EBM00255'!B:F,3,FALSE)</f>
        <v>1</v>
      </c>
      <c r="O42" s="144" t="str">
        <f>IFERROR(VLOOKUP(L42,#REF!,4,FALSE),"")</f>
        <v/>
      </c>
      <c r="P42" s="372">
        <f>IFERROR(VLOOKUP(L42,'EBM00255'!$B:$F,4,),)</f>
        <v>2.0493827160493825</v>
      </c>
      <c r="Q42" s="140"/>
      <c r="R42" s="31"/>
      <c r="S42" s="32"/>
      <c r="U42" s="84">
        <f t="shared" ref="U42:U67" si="1">N42*P42</f>
        <v>2.0493827160493825</v>
      </c>
      <c r="V42" s="84"/>
      <c r="W42" s="82"/>
      <c r="X42" s="136"/>
    </row>
    <row r="43" spans="3:24" s="131" customFormat="1" x14ac:dyDescent="0.25">
      <c r="C43" s="139"/>
      <c r="D43" s="140"/>
      <c r="E43" s="140" t="str">
        <f>'EBM00255'!C38</f>
        <v>Handbuch MCD Medical Line AESCU.certus³ DE/EN</v>
      </c>
      <c r="F43" s="140"/>
      <c r="G43" s="140"/>
      <c r="H43" s="140"/>
      <c r="I43" s="140"/>
      <c r="J43" s="115"/>
      <c r="K43" s="115"/>
      <c r="L43" s="141" t="str">
        <f>IF(INDEX('EBM00255'!B:B,MATCH(E43,'EBM00255'!C:C,0))=0,"",INDEX('EBM00255'!B:B,MATCH(E43,'EBM00255'!C:C,0)))</f>
        <v>6500083M_A</v>
      </c>
      <c r="M43" s="147"/>
      <c r="N43" s="141">
        <f>VLOOKUP(L43,'EBM00255'!B:F,3,FALSE)</f>
        <v>1</v>
      </c>
      <c r="O43" s="144" t="str">
        <f>IFERROR(VLOOKUP(L43,#REF!,4,FALSE),"")</f>
        <v/>
      </c>
      <c r="P43" s="372">
        <f>IFERROR(VLOOKUP(L43,'EBM00255'!$B:$F,4,),)</f>
        <v>2.0617283950617282</v>
      </c>
      <c r="Q43" s="140"/>
      <c r="R43" s="31"/>
      <c r="S43" s="32"/>
      <c r="U43" s="84">
        <f t="shared" si="1"/>
        <v>2.0617283950617282</v>
      </c>
      <c r="V43" s="84"/>
      <c r="W43" s="82"/>
      <c r="X43" s="136"/>
    </row>
    <row r="44" spans="3:24" s="131" customFormat="1" x14ac:dyDescent="0.25">
      <c r="C44" s="139"/>
      <c r="D44" s="140"/>
      <c r="E44" s="140" t="str">
        <f>'EBM00255'!C39</f>
        <v>Hologramm "Original Siegel" MCD Medical Line TL³</v>
      </c>
      <c r="F44" s="140"/>
      <c r="G44" s="115"/>
      <c r="H44" s="115"/>
      <c r="I44" s="115"/>
      <c r="J44" s="115"/>
      <c r="K44" s="115"/>
      <c r="L44" s="141" t="str">
        <f>IF(INDEX('EBM00255'!B:B,MATCH(E44,'EBM00255'!C:C,0))=0,"",INDEX('EBM00255'!B:B,MATCH(E44,'EBM00255'!C:C,0)))</f>
        <v>7300147M</v>
      </c>
      <c r="M44" s="147"/>
      <c r="N44" s="141">
        <f>VLOOKUP(L44,'EBM00255'!B:F,3,FALSE)</f>
        <v>1</v>
      </c>
      <c r="O44" s="144" t="str">
        <f>IFERROR(VLOOKUP(L44,#REF!,4,FALSE),"")</f>
        <v/>
      </c>
      <c r="P44" s="372">
        <f>IFERROR(VLOOKUP(L44,'EBM00255'!$B:$F,4,),)</f>
        <v>6.1728395061728392E-2</v>
      </c>
      <c r="Q44" s="140"/>
      <c r="R44" s="31"/>
      <c r="S44" s="32"/>
      <c r="U44" s="84">
        <f t="shared" si="1"/>
        <v>6.1728395061728392E-2</v>
      </c>
      <c r="V44" s="84"/>
      <c r="W44" s="82"/>
      <c r="X44" s="136"/>
    </row>
    <row r="45" spans="3:24" s="131" customFormat="1" x14ac:dyDescent="0.25">
      <c r="C45" s="139"/>
      <c r="D45" s="140"/>
      <c r="E45" s="140" t="str">
        <f>'EBM00255'!C40</f>
        <v>MCD Produktflyer Man&amp;Machine</v>
      </c>
      <c r="F45" s="140"/>
      <c r="G45" s="115"/>
      <c r="H45" s="115"/>
      <c r="I45" s="115"/>
      <c r="J45" s="115"/>
      <c r="K45" s="115"/>
      <c r="L45" s="141" t="str">
        <f>IF(INDEX('EBM00255'!B:B,MATCH(E45,'EBM00255'!C:C,0))=0,"",INDEX('EBM00255'!B:B,MATCH(E45,'EBM00255'!C:C,0)))</f>
        <v>6500093M</v>
      </c>
      <c r="M45" s="147"/>
      <c r="N45" s="141">
        <f>VLOOKUP(L45,'EBM00255'!B:F,3,FALSE)</f>
        <v>1</v>
      </c>
      <c r="O45" s="144" t="str">
        <f>IFERROR(VLOOKUP(L45,#REF!,4,FALSE),"")</f>
        <v/>
      </c>
      <c r="P45" s="372">
        <f>IFERROR(VLOOKUP(L45,'EBM00255'!$B:$F,4,),)</f>
        <v>0</v>
      </c>
      <c r="Q45" s="140"/>
      <c r="R45" s="31"/>
      <c r="S45" s="32"/>
      <c r="U45" s="84">
        <f t="shared" si="1"/>
        <v>0</v>
      </c>
      <c r="V45" s="84"/>
      <c r="W45" s="82"/>
      <c r="X45" s="136"/>
    </row>
    <row r="46" spans="3:24" s="131" customFormat="1" x14ac:dyDescent="0.25">
      <c r="C46" s="139"/>
      <c r="D46" s="140"/>
      <c r="E46" s="140" t="str">
        <f>'EBM00255'!C41</f>
        <v>Baukosten</v>
      </c>
      <c r="F46" s="140"/>
      <c r="G46" s="115"/>
      <c r="H46" s="115"/>
      <c r="I46" s="115"/>
      <c r="J46" s="115"/>
      <c r="K46" s="115"/>
      <c r="L46" s="141" t="str">
        <f>IF(INDEX('EBM00255'!B:B,MATCH(E46,'EBM00255'!C:C,0))=0,"",INDEX('EBM00255'!B:B,MATCH(E46,'EBM00255'!C:C,0)))</f>
        <v>8110070M</v>
      </c>
      <c r="M46" s="147"/>
      <c r="N46" s="141">
        <f>VLOOKUP(L46,'EBM00255'!B:F,3,FALSE)</f>
        <v>1</v>
      </c>
      <c r="O46" s="144"/>
      <c r="P46" s="372">
        <f>IFERROR(VLOOKUP(L46,'EBM00255'!$B:$F,4,),)</f>
        <v>86.419753086419746</v>
      </c>
      <c r="Q46" s="140"/>
      <c r="R46" s="31"/>
      <c r="S46" s="32"/>
      <c r="U46" s="84">
        <f t="shared" si="1"/>
        <v>86.419753086419746</v>
      </c>
      <c r="V46" s="84"/>
      <c r="W46" s="82"/>
      <c r="X46" s="136"/>
    </row>
    <row r="47" spans="3:24" s="131" customFormat="1" x14ac:dyDescent="0.25">
      <c r="C47" s="139"/>
      <c r="D47" s="140"/>
      <c r="E47" s="140" t="str">
        <f>'EBM00255'!C42</f>
        <v>AC³ Anteilige EMV-Kosten</v>
      </c>
      <c r="F47" s="140"/>
      <c r="G47" s="115"/>
      <c r="H47" s="115"/>
      <c r="I47" s="115"/>
      <c r="J47" s="115"/>
      <c r="K47" s="115"/>
      <c r="L47" s="141" t="str">
        <f>IF(INDEX('EBM00255'!B:B,MATCH(E47,'EBM00255'!C:C,0))=0,"",INDEX('EBM00255'!B:B,MATCH(E47,'EBM00255'!C:C,0)))</f>
        <v>8220009M</v>
      </c>
      <c r="M47" s="147"/>
      <c r="N47" s="141">
        <f>VLOOKUP(L47,'EBM00255'!B:F,3,FALSE)</f>
        <v>1</v>
      </c>
      <c r="O47" s="144"/>
      <c r="P47" s="372">
        <f>IFERROR(VLOOKUP(L47,'EBM00255'!$B:$F,4,),)</f>
        <v>13.827160493827158</v>
      </c>
      <c r="Q47" s="140"/>
      <c r="R47" s="31"/>
      <c r="S47" s="32"/>
      <c r="U47" s="84">
        <f t="shared" si="1"/>
        <v>13.827160493827158</v>
      </c>
      <c r="V47" s="84"/>
      <c r="W47" s="82"/>
      <c r="X47" s="136"/>
    </row>
    <row r="48" spans="3:24" s="131" customFormat="1" x14ac:dyDescent="0.25">
      <c r="C48" s="139"/>
      <c r="D48" s="140"/>
      <c r="E48" s="140" t="str">
        <f>'EBM00255'!C43</f>
        <v>AC³ Anteilige Entwicklungskosten</v>
      </c>
      <c r="F48" s="140"/>
      <c r="G48" s="115"/>
      <c r="H48" s="115"/>
      <c r="I48" s="115"/>
      <c r="J48" s="115"/>
      <c r="K48" s="115"/>
      <c r="L48" s="141" t="str">
        <f>IF(INDEX('EBM00255'!B:B,MATCH(E48,'EBM00255'!C:C,0))=0,"",INDEX('EBM00255'!B:B,MATCH(E48,'EBM00255'!C:C,0)))</f>
        <v>8220010M</v>
      </c>
      <c r="M48" s="147"/>
      <c r="N48" s="141">
        <f>VLOOKUP(L48,'EBM00255'!B:F,3,FALSE)</f>
        <v>1</v>
      </c>
      <c r="O48" s="144"/>
      <c r="P48" s="372">
        <f>IFERROR(VLOOKUP(L48,'EBM00255'!$B:$F,4,),)</f>
        <v>23.703703703703702</v>
      </c>
      <c r="Q48" s="140"/>
      <c r="R48" s="31"/>
      <c r="S48" s="32"/>
      <c r="U48" s="84">
        <f t="shared" si="1"/>
        <v>23.703703703703702</v>
      </c>
      <c r="V48" s="84"/>
      <c r="W48" s="82"/>
      <c r="X48" s="136"/>
    </row>
    <row r="49" spans="2:24" s="131" customFormat="1" x14ac:dyDescent="0.25">
      <c r="C49" s="139"/>
      <c r="D49" s="140"/>
      <c r="E49" s="140" t="str">
        <f>'EBM00255'!C44</f>
        <v>AC³ Anteilige Werkzeugkosten</v>
      </c>
      <c r="F49" s="140"/>
      <c r="G49" s="115"/>
      <c r="H49" s="115"/>
      <c r="I49" s="115"/>
      <c r="J49" s="115"/>
      <c r="K49" s="115"/>
      <c r="L49" s="141" t="str">
        <f>IF(INDEX('EBM00255'!B:B,MATCH(E49,'EBM00255'!C:C,0))=0,"",INDEX('EBM00255'!B:B,MATCH(E49,'EBM00255'!C:C,0)))</f>
        <v>8220011M</v>
      </c>
      <c r="M49" s="147"/>
      <c r="N49" s="141">
        <f>VLOOKUP(L49,'EBM00255'!B:F,3,FALSE)</f>
        <v>1</v>
      </c>
      <c r="O49" s="144"/>
      <c r="P49" s="372">
        <f>IFERROR(VLOOKUP(L49,'EBM00255'!$B:$F,4,),)</f>
        <v>7.4074074074074066</v>
      </c>
      <c r="Q49" s="140"/>
      <c r="R49" s="31"/>
      <c r="S49" s="32"/>
      <c r="U49" s="84">
        <f t="shared" si="1"/>
        <v>7.4074074074074066</v>
      </c>
      <c r="V49" s="84"/>
      <c r="W49" s="82"/>
      <c r="X49" s="136"/>
    </row>
    <row r="50" spans="2:24" s="131" customFormat="1" x14ac:dyDescent="0.25">
      <c r="C50" s="139"/>
      <c r="D50" s="140"/>
      <c r="E50" s="140" t="str">
        <f>'EBM00255'!C45</f>
        <v>AC³ Anteilige Prototypen-Kosten</v>
      </c>
      <c r="F50" s="140"/>
      <c r="G50" s="115"/>
      <c r="H50" s="115"/>
      <c r="I50" s="115"/>
      <c r="J50" s="115"/>
      <c r="K50" s="115"/>
      <c r="L50" s="141" t="str">
        <f>IF(INDEX('EBM00255'!B:B,MATCH(E50,'EBM00255'!C:C,0))=0,"",INDEX('EBM00255'!B:B,MATCH(E50,'EBM00255'!C:C,0)))</f>
        <v>8220012M</v>
      </c>
      <c r="M50" s="147"/>
      <c r="N50" s="141">
        <f>VLOOKUP(L50,'EBM00255'!B:F,3,FALSE)</f>
        <v>1</v>
      </c>
      <c r="O50" s="144"/>
      <c r="P50" s="372">
        <f>IFERROR(VLOOKUP(L50,'EBM00255'!$B:$F,4,),)</f>
        <v>14.617283950617283</v>
      </c>
      <c r="Q50" s="140"/>
      <c r="R50" s="31"/>
      <c r="S50" s="32"/>
      <c r="U50" s="84">
        <f t="shared" si="1"/>
        <v>14.617283950617283</v>
      </c>
      <c r="V50" s="84"/>
      <c r="W50" s="82"/>
      <c r="X50" s="136"/>
    </row>
    <row r="51" spans="2:24" s="131" customFormat="1" ht="5.25" customHeight="1" x14ac:dyDescent="0.25">
      <c r="C51" s="145"/>
      <c r="L51" s="155"/>
      <c r="M51" s="144"/>
      <c r="N51" s="141"/>
      <c r="O51" s="144"/>
      <c r="P51" s="371"/>
      <c r="U51" s="84">
        <f t="shared" si="1"/>
        <v>0</v>
      </c>
      <c r="V51" s="84"/>
      <c r="W51" s="82"/>
      <c r="X51" s="136"/>
    </row>
    <row r="52" spans="2:24" s="131" customFormat="1" x14ac:dyDescent="0.25">
      <c r="B52" s="135" t="s">
        <v>570</v>
      </c>
      <c r="C52" s="145"/>
      <c r="E52" s="115"/>
      <c r="F52" s="115"/>
      <c r="G52" s="115"/>
      <c r="H52" s="115"/>
      <c r="I52" s="115"/>
      <c r="J52" s="156"/>
      <c r="K52" s="167"/>
      <c r="L52" s="155"/>
      <c r="M52" s="147"/>
      <c r="N52" s="141"/>
      <c r="O52" s="144"/>
      <c r="P52" s="371"/>
      <c r="R52" s="134"/>
      <c r="S52" s="7"/>
      <c r="U52" s="84">
        <f t="shared" si="1"/>
        <v>0</v>
      </c>
      <c r="V52" s="84"/>
      <c r="W52" s="82"/>
      <c r="X52" s="136"/>
    </row>
    <row r="53" spans="2:24" s="131" customFormat="1" ht="5.25" customHeight="1" x14ac:dyDescent="0.25">
      <c r="C53" s="145"/>
      <c r="L53" s="155"/>
      <c r="M53" s="144"/>
      <c r="N53" s="141"/>
      <c r="O53" s="144"/>
      <c r="P53" s="371"/>
      <c r="U53" s="84">
        <f t="shared" si="1"/>
        <v>0</v>
      </c>
      <c r="V53" s="84"/>
      <c r="W53" s="82"/>
      <c r="X53" s="136"/>
    </row>
    <row r="54" spans="2:24" s="131" customFormat="1" x14ac:dyDescent="0.25">
      <c r="C54" s="145" t="s">
        <v>530</v>
      </c>
      <c r="E54" s="396" t="s">
        <v>553</v>
      </c>
      <c r="F54" s="397"/>
      <c r="G54" s="397"/>
      <c r="H54" s="397"/>
      <c r="I54" s="398"/>
      <c r="J54" s="156"/>
      <c r="K54" s="167"/>
      <c r="L54" s="155"/>
      <c r="M54" s="147"/>
      <c r="N54" s="141"/>
      <c r="O54" s="144"/>
      <c r="P54" s="371"/>
      <c r="R54" s="134"/>
      <c r="S54" s="7"/>
      <c r="U54" s="84">
        <f t="shared" si="1"/>
        <v>0</v>
      </c>
      <c r="V54" s="84"/>
      <c r="W54" s="82"/>
      <c r="X54" s="136"/>
    </row>
    <row r="55" spans="2:24" s="131" customFormat="1" ht="5.25" customHeight="1" x14ac:dyDescent="0.25">
      <c r="C55" s="145"/>
      <c r="L55" s="155"/>
      <c r="M55" s="144"/>
      <c r="N55" s="141"/>
      <c r="O55" s="144"/>
      <c r="P55" s="371"/>
      <c r="U55" s="84">
        <f t="shared" si="1"/>
        <v>0</v>
      </c>
      <c r="V55" s="84"/>
      <c r="W55" s="82"/>
      <c r="X55" s="136"/>
    </row>
    <row r="56" spans="2:24" s="131" customFormat="1" x14ac:dyDescent="0.25">
      <c r="C56" s="145"/>
      <c r="E56" s="392" t="str">
        <f>IF($E$54="Internes Netzteil",'EBM00255'!C61,IF($E$54="Externes Netzteil",'EBM00255'!C68,""))</f>
        <v>Adapterkabel MCD AC³ int. PSU 12V für D3433-S2</v>
      </c>
      <c r="F56" s="392"/>
      <c r="G56" s="392"/>
      <c r="H56" s="392"/>
      <c r="I56" s="392"/>
      <c r="J56" s="156"/>
      <c r="K56" s="167"/>
      <c r="L56" s="155" t="str">
        <f>IFERROR(INDEX('EBM00255'!B:B,MATCH(E56,'EBM00255'!C:C,0)),"")</f>
        <v>7100204M</v>
      </c>
      <c r="M56" s="147"/>
      <c r="N56" s="141">
        <f>VLOOKUP(L56,'EBM00255'!B:F,3,FALSE)</f>
        <v>1</v>
      </c>
      <c r="O56" s="144" t="str">
        <f>IFERROR(VLOOKUP(L56,#REF!,4,FALSE),"")</f>
        <v/>
      </c>
      <c r="P56" s="371">
        <f>IFERROR(VLOOKUP(L56,'EBM00255'!$B:$F,4,),)</f>
        <v>2.3703703703703702</v>
      </c>
      <c r="Q56" s="32"/>
      <c r="R56" s="31"/>
      <c r="S56" s="32"/>
      <c r="U56" s="84">
        <f t="shared" si="1"/>
        <v>2.3703703703703702</v>
      </c>
      <c r="V56" s="84"/>
      <c r="W56" s="82"/>
      <c r="X56" s="136"/>
    </row>
    <row r="57" spans="2:24" s="131" customFormat="1" x14ac:dyDescent="0.25">
      <c r="C57" s="145"/>
      <c r="E57" s="392" t="str">
        <f>IF($E$54="Internes Netzteil",'EBM00255'!C62,IF($E$54="Externes Netzteil",'EBM00255'!C69,""))</f>
        <v>Netzteil Open Frame Bicker BEO-2012MC</v>
      </c>
      <c r="F57" s="392"/>
      <c r="G57" s="392"/>
      <c r="H57" s="392"/>
      <c r="I57" s="392"/>
      <c r="J57" s="156"/>
      <c r="K57" s="167"/>
      <c r="L57" s="159" t="str">
        <f>IFERROR(INDEX('EBM00255'!B:B,MATCH(E57,'EBM00255'!C:C,0)),"")</f>
        <v>6300075M</v>
      </c>
      <c r="M57" s="147"/>
      <c r="N57" s="141">
        <f>VLOOKUP(L57,'EBM00255'!B:F,3,FALSE)</f>
        <v>1</v>
      </c>
      <c r="O57" s="144" t="str">
        <f>IFERROR(VLOOKUP(L57,#REF!,4,FALSE),"")</f>
        <v/>
      </c>
      <c r="P57" s="371">
        <f>IFERROR(VLOOKUP(L57,'EBM00255'!$B:$F,4,),)</f>
        <v>58.074074074074069</v>
      </c>
      <c r="Q57" s="32"/>
      <c r="R57" s="31"/>
      <c r="S57" s="32"/>
      <c r="U57" s="84">
        <f t="shared" si="1"/>
        <v>58.074074074074069</v>
      </c>
      <c r="V57" s="84"/>
      <c r="W57" s="82"/>
      <c r="X57" s="136"/>
    </row>
    <row r="58" spans="2:24" s="131" customFormat="1" x14ac:dyDescent="0.25">
      <c r="C58" s="145"/>
      <c r="E58" s="392" t="str">
        <f>IF($E$54="Internes Netzteil",'EBM00255'!C63,IF($E$54="Externes Netzteil",'EBM00255'!C70,""))</f>
        <v>Kabel Kaltgerätestecker EU rechts abgewinkelt 1.8m</v>
      </c>
      <c r="F58" s="392"/>
      <c r="G58" s="392"/>
      <c r="H58" s="392"/>
      <c r="I58" s="392"/>
      <c r="J58" s="156"/>
      <c r="K58" s="167"/>
      <c r="L58" s="159" t="str">
        <f>IFERROR(INDEX('EBM00255'!B:B,MATCH(E58,'EBM00255'!C:C,0)),"")</f>
        <v>3809266-1</v>
      </c>
      <c r="M58" s="147"/>
      <c r="N58" s="141">
        <f>VLOOKUP(L58,'EBM00255'!B:F,3,FALSE)</f>
        <v>1</v>
      </c>
      <c r="O58" s="144" t="str">
        <f>IFERROR(VLOOKUP(L58,#REF!,4,FALSE),"")</f>
        <v/>
      </c>
      <c r="P58" s="371">
        <f>IFERROR(VLOOKUP(L58,'EBM00255'!$B:$F,4,),)</f>
        <v>4.2592592592592595</v>
      </c>
      <c r="Q58" s="32"/>
      <c r="R58" s="31"/>
      <c r="S58" s="32"/>
      <c r="U58" s="84">
        <f t="shared" si="1"/>
        <v>4.2592592592592595</v>
      </c>
      <c r="V58" s="84"/>
      <c r="W58" s="82"/>
      <c r="X58" s="136"/>
    </row>
    <row r="59" spans="2:24" s="131" customFormat="1" x14ac:dyDescent="0.25">
      <c r="C59" s="145"/>
      <c r="E59" s="392" t="str">
        <f>IF($E$54="Internes Netzteil",'EBM00255'!C64,IF($E$54="Externes Netzteil",'EBM00255'!C71,""))</f>
        <v>IEC-Buchse MCD TL³ int. PSU inkl. Erdungskabel</v>
      </c>
      <c r="F59" s="392"/>
      <c r="G59" s="392"/>
      <c r="H59" s="392"/>
      <c r="I59" s="392"/>
      <c r="J59" s="156"/>
      <c r="K59" s="167"/>
      <c r="L59" s="159" t="str">
        <f>IFERROR(INDEX('EBM00255'!B:B,MATCH(E59,'EBM00255'!C:C,0)),"")</f>
        <v>7100163M-1</v>
      </c>
      <c r="M59" s="147"/>
      <c r="N59" s="141">
        <f>VLOOKUP(L59,'EBM00255'!B:F,3,FALSE)</f>
        <v>1</v>
      </c>
      <c r="O59" s="144" t="str">
        <f>IFERROR(VLOOKUP(L59,#REF!,4,FALSE),"")</f>
        <v/>
      </c>
      <c r="P59" s="371">
        <f>IFERROR(VLOOKUP(L59,'EBM00255'!$B:$F,4,),)</f>
        <v>4.9382716049382713</v>
      </c>
      <c r="Q59" s="32"/>
      <c r="R59" s="31"/>
      <c r="S59" s="32"/>
      <c r="U59" s="84">
        <f t="shared" si="1"/>
        <v>4.9382716049382713</v>
      </c>
      <c r="V59" s="84"/>
      <c r="W59" s="82"/>
      <c r="X59" s="136"/>
    </row>
    <row r="60" spans="2:24" s="131" customFormat="1" x14ac:dyDescent="0.25">
      <c r="C60" s="145"/>
      <c r="E60" s="392" t="str">
        <f>IF($E$54="Internes Netzteil",'EBM00255'!C65,IF($E$54="Externes Netzteil",'EBM00255'!C72,""))</f>
        <v>Gehäuse AC1+2 Senkkopfschraube schw. Verz. M3x10</v>
      </c>
      <c r="F60" s="392"/>
      <c r="G60" s="392"/>
      <c r="H60" s="392"/>
      <c r="I60" s="392"/>
      <c r="J60" s="156"/>
      <c r="K60" s="167"/>
      <c r="L60" s="155">
        <f>IFERROR(INDEX('EBM00255'!B:B,MATCH(E60,'EBM00255'!C:C,0)),"")</f>
        <v>9824535</v>
      </c>
      <c r="M60" s="147"/>
      <c r="N60" s="141">
        <f>IF(L60="",0,VLOOKUP(L60,'EBM00255'!B:F,3,FALSE))</f>
        <v>2</v>
      </c>
      <c r="O60" s="144" t="str">
        <f>IFERROR(VLOOKUP(L60,#REF!,4,FALSE),"")</f>
        <v/>
      </c>
      <c r="P60" s="371">
        <f>IFERROR(VLOOKUP(L60,'EBM00255'!$B:$F,4,),)</f>
        <v>0</v>
      </c>
      <c r="Q60" s="32"/>
      <c r="R60" s="31"/>
      <c r="S60" s="32"/>
      <c r="U60" s="84">
        <f t="shared" si="1"/>
        <v>0</v>
      </c>
      <c r="V60" s="84"/>
      <c r="W60" s="82"/>
      <c r="X60" s="136"/>
    </row>
    <row r="61" spans="2:24" s="131" customFormat="1" ht="5.25" customHeight="1" x14ac:dyDescent="0.25">
      <c r="C61" s="145"/>
      <c r="L61" s="155"/>
      <c r="M61" s="144"/>
      <c r="N61" s="141"/>
      <c r="O61" s="144"/>
      <c r="P61" s="371"/>
      <c r="U61" s="84">
        <f t="shared" si="1"/>
        <v>0</v>
      </c>
      <c r="V61" s="84"/>
      <c r="W61" s="82"/>
      <c r="X61" s="136"/>
    </row>
    <row r="62" spans="2:24" s="131" customFormat="1" x14ac:dyDescent="0.25">
      <c r="C62" s="145" t="s">
        <v>44</v>
      </c>
      <c r="E62" s="387" t="s">
        <v>514</v>
      </c>
      <c r="F62" s="388"/>
      <c r="G62" s="388"/>
      <c r="H62" s="388"/>
      <c r="I62" s="389"/>
      <c r="J62" s="156"/>
      <c r="K62" s="167"/>
      <c r="L62" s="155" t="str">
        <f>IFERROR(IF(INDEX('EBM00255'!B:B,MATCH(E62,'EBM00255'!C:C,0))=0,"",INDEX('EBM00255'!B:B,MATCH(E62,'EBM00255'!C:C,0))),"")</f>
        <v>3200026M</v>
      </c>
      <c r="M62" s="147"/>
      <c r="N62" s="141">
        <f>VLOOKUP(L62,'EBM00255'!B:F,3,FALSE)</f>
        <v>1</v>
      </c>
      <c r="O62" s="144" t="str">
        <f>IFERROR(VLOOKUP(L62,#REF!,4,FALSE),"")</f>
        <v/>
      </c>
      <c r="P62" s="371">
        <f>IFERROR(VLOOKUP(L62,'EBM00255'!$B:$F,4,),)</f>
        <v>61.728395061728392</v>
      </c>
      <c r="Q62" s="7"/>
      <c r="R62" s="134"/>
      <c r="S62" s="7"/>
      <c r="U62" s="84">
        <f t="shared" si="1"/>
        <v>61.728395061728392</v>
      </c>
      <c r="V62" s="84"/>
      <c r="W62" s="82"/>
      <c r="X62" s="136"/>
    </row>
    <row r="63" spans="2:24" s="131" customFormat="1" ht="5.25" customHeight="1" x14ac:dyDescent="0.25">
      <c r="C63" s="145"/>
      <c r="L63" s="155"/>
      <c r="M63" s="144"/>
      <c r="N63" s="141"/>
      <c r="O63" s="144"/>
      <c r="P63" s="371"/>
      <c r="Q63" s="7"/>
      <c r="R63" s="9"/>
      <c r="S63" s="7"/>
      <c r="U63" s="84">
        <f t="shared" si="1"/>
        <v>0</v>
      </c>
      <c r="V63" s="84"/>
      <c r="W63" s="82"/>
      <c r="X63" s="136"/>
    </row>
    <row r="64" spans="2:24" s="131" customFormat="1" x14ac:dyDescent="0.25">
      <c r="C64" s="145" t="s">
        <v>1</v>
      </c>
      <c r="E64" s="387" t="s">
        <v>392</v>
      </c>
      <c r="F64" s="388"/>
      <c r="G64" s="388"/>
      <c r="H64" s="388"/>
      <c r="I64" s="389"/>
      <c r="J64" s="156">
        <v>1</v>
      </c>
      <c r="K64" s="167"/>
      <c r="L64" s="155" t="str">
        <f>IFERROR(IF(INDEX('EBM00255'!B:B,MATCH(E64,'EBM00255'!C:C,0))=0,"",INDEX('EBM00255'!B:B,MATCH(E64,'EBM00255'!C:C,0))),"")</f>
        <v>2190170-1</v>
      </c>
      <c r="M64" s="147"/>
      <c r="N64" s="67">
        <v>1</v>
      </c>
      <c r="O64" s="144" t="str">
        <f>IFERROR(VLOOKUP(L64,#REF!,4,FALSE),"")</f>
        <v/>
      </c>
      <c r="P64" s="371">
        <f>IFERROR(VLOOKUP(L64,'EBM00255'!$B:$F,4,),)</f>
        <v>43.209876543209873</v>
      </c>
      <c r="Q64" s="7"/>
      <c r="R64" s="134"/>
      <c r="S64" s="7"/>
      <c r="U64" s="84">
        <f t="shared" si="1"/>
        <v>43.209876543209873</v>
      </c>
      <c r="V64" s="84"/>
      <c r="W64" s="82"/>
      <c r="X64" s="136"/>
    </row>
    <row r="65" spans="3:24" s="131" customFormat="1" x14ac:dyDescent="0.25">
      <c r="C65" s="145"/>
      <c r="E65" s="392" t="str">
        <f>IF(ISNA(VLOOKUP(L65,A:B,2,FALSE)),"",VLOOKUP(L65,A:B,2,FALSE))</f>
        <v>Betriebssystem auf folgenden Datenträger:</v>
      </c>
      <c r="F65" s="392"/>
      <c r="G65" s="392"/>
      <c r="H65" s="392"/>
      <c r="I65" s="392"/>
      <c r="J65" s="131">
        <v>2</v>
      </c>
      <c r="K65" s="170" t="s">
        <v>693</v>
      </c>
      <c r="L65" s="173" t="str">
        <f>IF(K66="Ja","8120067M","")</f>
        <v>8120067M</v>
      </c>
      <c r="M65" s="144"/>
      <c r="N65" s="141">
        <f>IF(L65="8120067M",1,"")</f>
        <v>1</v>
      </c>
      <c r="O65" s="144"/>
      <c r="P65" s="371"/>
      <c r="Q65" s="7"/>
      <c r="R65" s="9"/>
      <c r="S65" s="7"/>
      <c r="U65" s="84">
        <f t="shared" si="1"/>
        <v>0</v>
      </c>
      <c r="V65" s="84"/>
      <c r="W65" s="82"/>
      <c r="X65" s="136"/>
    </row>
    <row r="66" spans="3:24" s="131" customFormat="1" x14ac:dyDescent="0.25">
      <c r="C66" s="151" t="s">
        <v>531</v>
      </c>
      <c r="E66" s="387" t="s">
        <v>563</v>
      </c>
      <c r="F66" s="388"/>
      <c r="G66" s="388"/>
      <c r="H66" s="388"/>
      <c r="I66" s="389"/>
      <c r="J66" s="180" t="str">
        <f>IF(K66="Nein","0","1")</f>
        <v>1</v>
      </c>
      <c r="K66" s="67" t="s">
        <v>256</v>
      </c>
      <c r="L66" s="159" t="str">
        <f>IFERROR(IF(INDEX('EBM00255'!B:B,MATCH(E66,'EBM00255'!C:C,0))=0,"",INDEX('EBM00255'!B:B,MATCH(E66,'EBM00255'!C:C,0))),"")</f>
        <v>3400044M</v>
      </c>
      <c r="M66" s="147" t="str">
        <f>CONCATENATE(E66,L65)</f>
        <v>SSD 2.5" SATA3 250GB Samsung 860 EVO8120067M</v>
      </c>
      <c r="N66" s="141">
        <v>1</v>
      </c>
      <c r="O66" s="144" t="str">
        <f>IFERROR(VLOOKUP(L66,#REF!,4,FALSE),"")</f>
        <v/>
      </c>
      <c r="P66" s="371">
        <f>IFERROR(VLOOKUP(L66,'EBM00255'!$B:$F,4,),)</f>
        <v>72.716049382716037</v>
      </c>
      <c r="Q66" s="7"/>
      <c r="R66" s="50">
        <f>IF(K66="JA",1,0)</f>
        <v>1</v>
      </c>
      <c r="S66" s="7"/>
      <c r="U66" s="84">
        <f t="shared" si="1"/>
        <v>72.716049382716037</v>
      </c>
      <c r="V66" s="84"/>
      <c r="W66" s="82"/>
      <c r="X66" s="136"/>
    </row>
    <row r="67" spans="3:24" s="131" customFormat="1" x14ac:dyDescent="0.25">
      <c r="C67" s="151" t="s">
        <v>653</v>
      </c>
      <c r="E67" s="396" t="s">
        <v>662</v>
      </c>
      <c r="F67" s="397"/>
      <c r="G67" s="397"/>
      <c r="H67" s="397"/>
      <c r="I67" s="398"/>
      <c r="K67" s="167"/>
      <c r="L67" s="168" t="str">
        <f>IF(L66&lt;&gt;"---",IFERROR(IF(INDEX('EBM00255'!B:B,MATCH(E67,'EBM00255'!C:C,0))=0,"",INDEX('EBM00255'!B:B,MATCH(E67,'EBM00255'!C:C,0))),""),"")</f>
        <v>7300185M</v>
      </c>
      <c r="M67" s="147"/>
      <c r="N67" s="141">
        <v>1</v>
      </c>
      <c r="O67" s="144"/>
      <c r="P67" s="371">
        <f>IFERROR(VLOOKUP(L67,'EBM00255'!$B:$F,4,),)</f>
        <v>0</v>
      </c>
      <c r="Q67" s="7"/>
      <c r="R67" s="189"/>
      <c r="S67" s="7"/>
      <c r="U67" s="84">
        <f t="shared" si="1"/>
        <v>0</v>
      </c>
      <c r="V67" s="84"/>
      <c r="W67" s="82"/>
      <c r="X67" s="136"/>
    </row>
    <row r="68" spans="3:24" s="131" customFormat="1" x14ac:dyDescent="0.25">
      <c r="C68" s="145"/>
      <c r="E68" s="392" t="str">
        <f>IF(ISNA(VLOOKUP(L68,A:B,2,FALSE)),"",VLOOKUP(L68,A:B,2,FALSE))</f>
        <v/>
      </c>
      <c r="F68" s="392"/>
      <c r="G68" s="392"/>
      <c r="H68" s="392"/>
      <c r="I68" s="392"/>
      <c r="L68" s="168" t="str">
        <f>IF(K69="Ja","8120067M","")</f>
        <v/>
      </c>
      <c r="M68" s="144"/>
      <c r="N68" s="141" t="str">
        <f>IF(L68="8120067M",1,"")</f>
        <v/>
      </c>
      <c r="O68" s="144"/>
      <c r="P68" s="371"/>
      <c r="Q68" s="7"/>
      <c r="R68" s="190"/>
      <c r="S68" s="7"/>
      <c r="U68" s="84"/>
      <c r="V68" s="84"/>
      <c r="W68" s="82"/>
      <c r="X68" s="136"/>
    </row>
    <row r="69" spans="3:24" s="131" customFormat="1" x14ac:dyDescent="0.25">
      <c r="C69" s="145" t="s">
        <v>532</v>
      </c>
      <c r="E69" s="387" t="s">
        <v>178</v>
      </c>
      <c r="F69" s="388"/>
      <c r="G69" s="388"/>
      <c r="H69" s="388"/>
      <c r="I69" s="389"/>
      <c r="J69" s="180" t="str">
        <f>IF(K69="Nein","0","1")</f>
        <v>0</v>
      </c>
      <c r="K69" s="67" t="s">
        <v>257</v>
      </c>
      <c r="L69" s="159" t="str">
        <f>IFERROR(IF(INDEX('EBM00255'!B:B,MATCH(E69,'EBM00255'!C:C,0))=0,"",INDEX('EBM00255'!B:B,MATCH(E69,'EBM00255'!C:C,0))),"")</f>
        <v>---</v>
      </c>
      <c r="M69" s="147" t="str">
        <f>CONCATENATE(E69,L68)</f>
        <v>---</v>
      </c>
      <c r="N69" s="141">
        <f>IF(E69="---",0,1)</f>
        <v>0</v>
      </c>
      <c r="O69" s="144" t="str">
        <f>IFERROR(VLOOKUP(L69,#REF!,4,FALSE),"")</f>
        <v/>
      </c>
      <c r="P69" s="371">
        <f>IFERROR(VLOOKUP(L69,'EBM00255'!$B:$F,4,),)</f>
        <v>0</v>
      </c>
      <c r="Q69" s="7"/>
      <c r="R69" s="50">
        <f>IF(K69="JA",1,0)</f>
        <v>0</v>
      </c>
      <c r="S69" s="7"/>
      <c r="U69" s="84">
        <f>N69*P69</f>
        <v>0</v>
      </c>
      <c r="V69" s="84"/>
      <c r="W69" s="82"/>
      <c r="X69" s="136"/>
    </row>
    <row r="70" spans="3:24" s="131" customFormat="1" x14ac:dyDescent="0.25">
      <c r="C70" s="151" t="s">
        <v>653</v>
      </c>
      <c r="E70" s="396" t="s">
        <v>663</v>
      </c>
      <c r="F70" s="397"/>
      <c r="G70" s="397"/>
      <c r="H70" s="397"/>
      <c r="I70" s="398"/>
      <c r="J70" s="158"/>
      <c r="K70" s="167"/>
      <c r="L70" s="159" t="str">
        <f>IF(L69&lt;&gt;"---",IFERROR(IF(INDEX('EBM00255'!B:B,MATCH(E70,'EBM00255'!C:C,0))=0,"",INDEX('EBM00255'!B:B,MATCH(E70,'EBM00255'!C:C,0))),""),"")</f>
        <v/>
      </c>
      <c r="M70" s="147"/>
      <c r="N70" s="141">
        <v>1</v>
      </c>
      <c r="O70" s="144"/>
      <c r="P70" s="371">
        <f>IFERROR(VLOOKUP(L70,'EBM00255'!$B:$F,4,),)</f>
        <v>0</v>
      </c>
      <c r="Q70" s="7"/>
      <c r="R70" s="189"/>
      <c r="S70" s="7"/>
      <c r="U70" s="84">
        <f>N70*P70</f>
        <v>0</v>
      </c>
      <c r="V70" s="84"/>
      <c r="W70" s="82"/>
      <c r="X70" s="136"/>
    </row>
    <row r="71" spans="3:24" s="131" customFormat="1" x14ac:dyDescent="0.25">
      <c r="C71" s="145"/>
      <c r="E71" s="392" t="str">
        <f>IF(ISNA(VLOOKUP(L71,A:B,2,FALSE)),"",VLOOKUP(L71,A:B,2,FALSE))</f>
        <v/>
      </c>
      <c r="F71" s="392"/>
      <c r="G71" s="392"/>
      <c r="H71" s="392"/>
      <c r="I71" s="392"/>
      <c r="J71" s="158"/>
      <c r="K71" s="167"/>
      <c r="L71" s="173" t="str">
        <f>IF(K72="Ja","8120067M","")</f>
        <v/>
      </c>
      <c r="M71" s="147"/>
      <c r="N71" s="141" t="str">
        <f>IF(L71="8120067M",1,"")</f>
        <v/>
      </c>
      <c r="O71" s="144"/>
      <c r="P71" s="371"/>
      <c r="Q71" s="7"/>
      <c r="R71" s="190"/>
      <c r="S71" s="7"/>
      <c r="U71" s="84"/>
      <c r="V71" s="84"/>
      <c r="W71" s="82"/>
      <c r="X71" s="136"/>
    </row>
    <row r="72" spans="3:24" s="131" customFormat="1" x14ac:dyDescent="0.25">
      <c r="C72" s="145" t="s">
        <v>652</v>
      </c>
      <c r="E72" s="387" t="s">
        <v>178</v>
      </c>
      <c r="F72" s="388"/>
      <c r="G72" s="388"/>
      <c r="H72" s="388"/>
      <c r="I72" s="389"/>
      <c r="J72" s="180" t="str">
        <f>IF(K72="Nein","0","1")</f>
        <v>0</v>
      </c>
      <c r="K72" s="67" t="s">
        <v>257</v>
      </c>
      <c r="L72" s="159" t="str">
        <f>IFERROR(IF(INDEX('EBM00255'!B:B,MATCH(E72,'EBM00255'!C:C,0))=0,"",INDEX('EBM00255'!B:B,MATCH(E72,'EBM00255'!C:C,0))),"")</f>
        <v>---</v>
      </c>
      <c r="M72" s="147" t="str">
        <f>CONCATENATE(E72,L71)</f>
        <v>---</v>
      </c>
      <c r="N72" s="141">
        <f>IF(E72="---",0,1)</f>
        <v>0</v>
      </c>
      <c r="O72" s="144" t="str">
        <f>IFERROR(VLOOKUP(L72,#REF!,4,FALSE),"")</f>
        <v/>
      </c>
      <c r="P72" s="371">
        <f>IFERROR(VLOOKUP(L72,'EBM00255'!$B:$F,4,),)</f>
        <v>0</v>
      </c>
      <c r="Q72" s="7"/>
      <c r="R72" s="50">
        <f>IF(K72="JA",1,0)</f>
        <v>0</v>
      </c>
      <c r="S72" s="7"/>
      <c r="U72" s="84">
        <f t="shared" ref="U72:U103" si="2">N72*P72</f>
        <v>0</v>
      </c>
      <c r="V72" s="84"/>
      <c r="W72" s="82"/>
      <c r="X72" s="136"/>
    </row>
    <row r="73" spans="3:24" s="131" customFormat="1" x14ac:dyDescent="0.25">
      <c r="C73" s="151" t="s">
        <v>653</v>
      </c>
      <c r="E73" s="401" t="s">
        <v>664</v>
      </c>
      <c r="F73" s="402"/>
      <c r="G73" s="402"/>
      <c r="H73" s="402"/>
      <c r="I73" s="403"/>
      <c r="J73" s="158"/>
      <c r="K73" s="167"/>
      <c r="L73" s="168" t="str">
        <f>IF(L72&lt;&gt;"---",IFERROR(IF(INDEX('EBM00255'!B:B,MATCH(E73,'EBM00255'!C:C,0))=0,"",INDEX('EBM00255'!B:B,MATCH(E73,'EBM00255'!C:C,0))),""),"")</f>
        <v/>
      </c>
      <c r="M73" s="147"/>
      <c r="N73" s="141">
        <v>1</v>
      </c>
      <c r="O73" s="144"/>
      <c r="P73" s="371">
        <f>IFERROR(VLOOKUP(L73,'EBM00255'!$B:$F,4,),)</f>
        <v>0</v>
      </c>
      <c r="Q73" s="7"/>
      <c r="R73" s="134"/>
      <c r="S73" s="7"/>
      <c r="U73" s="84">
        <f t="shared" si="2"/>
        <v>0</v>
      </c>
      <c r="V73" s="84"/>
      <c r="W73" s="82"/>
      <c r="X73" s="136"/>
    </row>
    <row r="74" spans="3:24" s="131" customFormat="1" ht="4.5" customHeight="1" x14ac:dyDescent="0.25">
      <c r="C74" s="145"/>
      <c r="E74" s="161"/>
      <c r="F74" s="161"/>
      <c r="G74" s="161"/>
      <c r="H74" s="161"/>
      <c r="I74" s="161"/>
      <c r="J74" s="161"/>
      <c r="K74" s="167"/>
      <c r="L74" s="160"/>
      <c r="M74" s="147"/>
      <c r="N74" s="141"/>
      <c r="O74" s="144"/>
      <c r="P74" s="371"/>
      <c r="Q74" s="7"/>
      <c r="R74" s="134"/>
      <c r="S74" s="7"/>
      <c r="U74" s="84">
        <f t="shared" si="2"/>
        <v>0</v>
      </c>
      <c r="V74" s="84"/>
      <c r="W74" s="82"/>
      <c r="X74" s="136"/>
    </row>
    <row r="75" spans="3:24" s="131" customFormat="1" x14ac:dyDescent="0.25">
      <c r="C75" s="145"/>
      <c r="E75" s="162" t="str">
        <f>'EBM00255'!C98</f>
        <v>M3x4 Linsenkopfschraube</v>
      </c>
      <c r="F75" s="162"/>
      <c r="G75" s="162"/>
      <c r="H75" s="162"/>
      <c r="I75" s="162"/>
      <c r="J75" s="162"/>
      <c r="K75" s="167"/>
      <c r="L75" s="163" t="str">
        <f>IFERROR(IF(INDEX('EBM00255'!B:B,MATCH(E75,'EBM00255'!C:C,0))=0,"",INDEX('EBM00255'!B:B,MATCH(E75,'EBM00255'!C:C,0))),"")</f>
        <v>7000112M</v>
      </c>
      <c r="M75" s="147"/>
      <c r="N75" s="141">
        <f>IF(OR(L67="7300185M",L70="7300185M",L72="7300185M"),4,"")</f>
        <v>4</v>
      </c>
      <c r="O75" s="144" t="str">
        <f>IFERROR(VLOOKUP(L75,#REF!,4,FALSE),"")</f>
        <v/>
      </c>
      <c r="P75" s="371">
        <f>IFERROR(VLOOKUP(L75,'EBM00255'!$B:$F,4,),)</f>
        <v>0</v>
      </c>
      <c r="Q75" s="7"/>
      <c r="R75" s="134"/>
      <c r="S75" s="7"/>
      <c r="U75" s="84">
        <f t="shared" si="2"/>
        <v>0</v>
      </c>
      <c r="V75" s="84"/>
      <c r="W75" s="82"/>
      <c r="X75" s="136"/>
    </row>
    <row r="76" spans="3:24" s="131" customFormat="1" x14ac:dyDescent="0.25">
      <c r="C76" s="145"/>
      <c r="E76" s="162" t="str">
        <f>IF(OR(E69&lt;&gt;"---",E72&lt;&gt;"---",E67&lt;&gt;"Datenträger AC³ Position Standard"),'EBM00255'!C108,"")</f>
        <v/>
      </c>
      <c r="F76" s="162"/>
      <c r="G76" s="162"/>
      <c r="H76" s="162"/>
      <c r="I76" s="162"/>
      <c r="J76" s="162"/>
      <c r="K76" s="167"/>
      <c r="L76" s="163" t="str">
        <f>IFERROR(INDEX('EBM00255'!B:B,MATCH(E76,'EBM00255'!C:C,0)),"")</f>
        <v/>
      </c>
      <c r="M76" s="147"/>
      <c r="N76" s="141">
        <f>IF(E76&lt;&gt;"",VLOOKUP(L76,'EBM00255'!B:D,3,FALSE),0)</f>
        <v>0</v>
      </c>
      <c r="O76" s="144" t="str">
        <f>IFERROR(VLOOKUP(L76,#REF!,4,FALSE),"")</f>
        <v/>
      </c>
      <c r="P76" s="371">
        <f>IFERROR(VLOOKUP(L76,'EBM00255'!$B:$F,4,),)</f>
        <v>0</v>
      </c>
      <c r="Q76" s="7"/>
      <c r="R76" s="134"/>
      <c r="S76" s="7"/>
      <c r="U76" s="84">
        <f t="shared" si="2"/>
        <v>0</v>
      </c>
      <c r="V76" s="84"/>
      <c r="W76" s="82"/>
      <c r="X76" s="136"/>
    </row>
    <row r="77" spans="3:24" s="131" customFormat="1" x14ac:dyDescent="0.25">
      <c r="C77" s="145"/>
      <c r="E77" s="162" t="str">
        <f>IF(AND(OR(E69&lt;&gt;"---",E72&lt;&gt;"---",),E96&lt;&gt;"---",E66&lt;&gt;"---",E67&lt;&gt;"Datenträger AC³ Position Standard"),'EBM00255'!C99,"")</f>
        <v/>
      </c>
      <c r="F77" s="162"/>
      <c r="G77" s="162"/>
      <c r="H77" s="162"/>
      <c r="I77" s="162"/>
      <c r="J77" s="162"/>
      <c r="K77" s="167"/>
      <c r="L77" s="163" t="str">
        <f>IFERROR(INDEX('EBM00255'!B:B,MATCH(E77,'EBM00255'!C:C,0)),"")</f>
        <v/>
      </c>
      <c r="M77" s="147"/>
      <c r="N77" s="141">
        <f>IF(E77&lt;&gt;"",VLOOKUP(L77,'EBM00255'!B:D,3,FALSE),0)</f>
        <v>0</v>
      </c>
      <c r="O77" s="144" t="str">
        <f>IFERROR(VLOOKUP(L77,#REF!,4,FALSE),"")</f>
        <v/>
      </c>
      <c r="P77" s="371">
        <f>IFERROR(VLOOKUP(L77,'EBM00255'!$B:$F,4,),)</f>
        <v>0</v>
      </c>
      <c r="Q77" s="7"/>
      <c r="R77" s="134"/>
      <c r="S77" s="7"/>
      <c r="U77" s="84">
        <f t="shared" si="2"/>
        <v>0</v>
      </c>
      <c r="V77" s="84"/>
      <c r="W77" s="82"/>
      <c r="X77" s="136"/>
    </row>
    <row r="78" spans="3:24" s="131" customFormat="1" x14ac:dyDescent="0.25">
      <c r="C78" s="145"/>
      <c r="E78" s="162" t="str">
        <f>IF(OR(E69&lt;&gt;"---",E72&lt;&gt;"---",E67&lt;&gt;"Datenträger AC³ Position Standard"),'EBM00255'!C106,"---")</f>
        <v>---</v>
      </c>
      <c r="F78" s="162"/>
      <c r="G78" s="162"/>
      <c r="H78" s="162"/>
      <c r="I78" s="162"/>
      <c r="J78" s="162"/>
      <c r="K78" s="167"/>
      <c r="L78" s="163" t="str">
        <f>IFERROR(IF(INDEX('EBM00255'!B:B,MATCH(E78,'EBM00255'!C:C,0))=0,"",INDEX('EBM00255'!B:B,MATCH(E78,'EBM00255'!C:C,0))),"")</f>
        <v>---</v>
      </c>
      <c r="M78" s="147"/>
      <c r="N78" s="141">
        <f>VLOOKUP(L78,'EBM00255'!B:F,3,FALSE)</f>
        <v>0</v>
      </c>
      <c r="O78" s="144" t="str">
        <f>IFERROR(VLOOKUP(L78,#REF!,4,FALSE),"")</f>
        <v/>
      </c>
      <c r="P78" s="371">
        <f>IFERROR(VLOOKUP(L78,'EBM00255'!$B:$F,4,),)</f>
        <v>0</v>
      </c>
      <c r="Q78" s="7"/>
      <c r="R78" s="134"/>
      <c r="S78" s="7"/>
      <c r="U78" s="84">
        <f t="shared" si="2"/>
        <v>0</v>
      </c>
      <c r="V78" s="84"/>
      <c r="W78" s="82"/>
      <c r="X78" s="136"/>
    </row>
    <row r="79" spans="3:24" s="131" customFormat="1" x14ac:dyDescent="0.25">
      <c r="C79" s="145"/>
      <c r="E79" s="162" t="str">
        <f>IF(OR(E69&lt;&gt;"---",E72&lt;&gt;"---",E67&lt;&gt;"Datenträger AC³ Position Standard",E118="Ja"),'EBM00255'!C107,"---")</f>
        <v>---</v>
      </c>
      <c r="F79" s="162"/>
      <c r="G79" s="162"/>
      <c r="H79" s="162"/>
      <c r="I79" s="162"/>
      <c r="J79" s="162"/>
      <c r="K79" s="167"/>
      <c r="L79" s="163" t="str">
        <f>IFERROR(IF(INDEX('EBM00255'!B:B,MATCH(E79,'EBM00255'!C:C,0))=0,"",INDEX('EBM00255'!B:B,MATCH(E79,'EBM00255'!C:C,0))),"")</f>
        <v>---</v>
      </c>
      <c r="M79" s="147"/>
      <c r="N79" s="141">
        <f>VLOOKUP(L79,'EBM00255'!B:F,3,FALSE)</f>
        <v>0</v>
      </c>
      <c r="O79" s="144" t="str">
        <f>IFERROR(VLOOKUP(L79,#REF!,4,FALSE),"")</f>
        <v/>
      </c>
      <c r="P79" s="371">
        <f>IFERROR(VLOOKUP(L79,'EBM00255'!$B:$F,4,),)</f>
        <v>0</v>
      </c>
      <c r="Q79" s="7"/>
      <c r="R79" s="134"/>
      <c r="S79" s="7"/>
      <c r="U79" s="84">
        <f t="shared" si="2"/>
        <v>0</v>
      </c>
      <c r="V79" s="84"/>
      <c r="W79" s="82"/>
      <c r="X79" s="136"/>
    </row>
    <row r="80" spans="3:24" s="131" customFormat="1" ht="8.25" customHeight="1" x14ac:dyDescent="0.25">
      <c r="C80" s="145"/>
      <c r="E80" s="156"/>
      <c r="F80" s="156"/>
      <c r="G80" s="156"/>
      <c r="H80" s="156"/>
      <c r="I80" s="156"/>
      <c r="J80" s="156"/>
      <c r="K80" s="167"/>
      <c r="L80" s="155"/>
      <c r="M80" s="147"/>
      <c r="N80" s="141"/>
      <c r="O80" s="144"/>
      <c r="P80" s="371"/>
      <c r="Q80" s="7"/>
      <c r="R80" s="134"/>
      <c r="S80" s="7"/>
      <c r="U80" s="84">
        <f t="shared" si="2"/>
        <v>0</v>
      </c>
      <c r="V80" s="84"/>
      <c r="W80" s="82"/>
      <c r="X80" s="136"/>
    </row>
    <row r="81" spans="2:24" s="131" customFormat="1" x14ac:dyDescent="0.25">
      <c r="C81" s="145" t="s">
        <v>533</v>
      </c>
      <c r="E81" s="387" t="s">
        <v>257</v>
      </c>
      <c r="F81" s="388"/>
      <c r="G81" s="388"/>
      <c r="H81" s="388"/>
      <c r="I81" s="389"/>
      <c r="J81" s="156"/>
      <c r="K81" s="167"/>
      <c r="L81" s="155"/>
      <c r="M81" s="147"/>
      <c r="N81" s="141"/>
      <c r="O81" s="144" t="str">
        <f>IFERROR(VLOOKUP(L81,#REF!,4,FALSE),"")</f>
        <v/>
      </c>
      <c r="P81" s="371"/>
      <c r="Q81" s="7"/>
      <c r="R81" s="134"/>
      <c r="S81" s="7"/>
      <c r="U81" s="84">
        <f t="shared" si="2"/>
        <v>0</v>
      </c>
      <c r="V81" s="84"/>
      <c r="W81" s="82"/>
      <c r="X81" s="136"/>
    </row>
    <row r="82" spans="2:24" s="131" customFormat="1" x14ac:dyDescent="0.25">
      <c r="C82" s="145"/>
      <c r="E82" s="131" t="str">
        <f>IF(E81="Ja",'EBM00255'!C115,"")</f>
        <v/>
      </c>
      <c r="F82" s="156"/>
      <c r="G82" s="156"/>
      <c r="H82" s="156"/>
      <c r="I82" s="156"/>
      <c r="J82" s="156"/>
      <c r="K82" s="167"/>
      <c r="L82" s="155" t="str">
        <f>IFERROR(IF(INDEX('EBM00255'!B:B,MATCH(E82,'EBM00255'!C:C,0))=0,"",INDEX('EBM00255'!B:B,MATCH(E82,'EBM00255'!C:C,0))),"")</f>
        <v/>
      </c>
      <c r="M82" s="147"/>
      <c r="N82" s="141">
        <f>IF(E82&lt;&gt;"",VLOOKUP(L82,'EBM00255'!B:D,3,FALSE),0)</f>
        <v>0</v>
      </c>
      <c r="O82" s="144" t="str">
        <f>IFERROR(VLOOKUP(L82,#REF!,4,FALSE),"")</f>
        <v/>
      </c>
      <c r="P82" s="371">
        <f>IFERROR(VLOOKUP(L82,'EBM00255'!$B:$F,4,),)</f>
        <v>0</v>
      </c>
      <c r="Q82" s="7"/>
      <c r="R82" s="134"/>
      <c r="S82" s="7"/>
      <c r="U82" s="84">
        <f t="shared" si="2"/>
        <v>0</v>
      </c>
      <c r="V82" s="84"/>
      <c r="W82" s="82"/>
      <c r="X82" s="136"/>
    </row>
    <row r="83" spans="2:24" s="131" customFormat="1" x14ac:dyDescent="0.25">
      <c r="C83" s="145"/>
      <c r="E83" s="131" t="str">
        <f>IF(E81="Ja",'EBM00255'!C116,"")</f>
        <v/>
      </c>
      <c r="F83" s="156"/>
      <c r="G83" s="156"/>
      <c r="H83" s="156"/>
      <c r="I83" s="156"/>
      <c r="J83" s="156"/>
      <c r="K83" s="167"/>
      <c r="L83" s="160" t="str">
        <f>IFERROR(IF(INDEX('EBM00255'!B:B,MATCH(E83,'EBM00255'!C:C,0))=0,"",INDEX('EBM00255'!B:B,MATCH(E83,'EBM00255'!C:C,0))),"")</f>
        <v/>
      </c>
      <c r="M83" s="147"/>
      <c r="N83" s="141">
        <f>IF(E83&lt;&gt;"",VLOOKUP(L83,'EBM00255'!B:D,3,FALSE),0)</f>
        <v>0</v>
      </c>
      <c r="O83" s="144" t="str">
        <f>IFERROR(VLOOKUP(L83,#REF!,4,FALSE),"")</f>
        <v/>
      </c>
      <c r="P83" s="371">
        <f>IFERROR(VLOOKUP(L83,'EBM00255'!$B:$F,4,),)</f>
        <v>0</v>
      </c>
      <c r="Q83" s="7"/>
      <c r="R83" s="134"/>
      <c r="S83" s="7"/>
      <c r="U83" s="84">
        <f t="shared" si="2"/>
        <v>0</v>
      </c>
      <c r="V83" s="84"/>
      <c r="W83" s="82"/>
      <c r="X83" s="136"/>
    </row>
    <row r="84" spans="2:24" s="131" customFormat="1" x14ac:dyDescent="0.25">
      <c r="C84" s="145"/>
      <c r="E84" s="131" t="str">
        <f>IF(E81="Ja",'EBM00255'!C117,"")</f>
        <v/>
      </c>
      <c r="F84" s="156"/>
      <c r="G84" s="156"/>
      <c r="H84" s="156"/>
      <c r="I84" s="156"/>
      <c r="J84" s="156"/>
      <c r="K84" s="167"/>
      <c r="L84" s="160" t="str">
        <f>IFERROR(IF(INDEX('EBM00255'!B:B,MATCH(E84,'EBM00255'!C:C,0))=0,"",INDEX('EBM00255'!B:B,MATCH(E84,'EBM00255'!C:C,0))),"")</f>
        <v/>
      </c>
      <c r="M84" s="147"/>
      <c r="N84" s="141">
        <f>IF(E84&lt;&gt;"",VLOOKUP(L84,'EBM00255'!B:D,3,FALSE),0)</f>
        <v>0</v>
      </c>
      <c r="O84" s="144" t="str">
        <f>IFERROR(VLOOKUP(L84,#REF!,4,FALSE),"")</f>
        <v/>
      </c>
      <c r="P84" s="371">
        <f>IFERROR(VLOOKUP(L84,'EBM00255'!$B:$F,4,),)</f>
        <v>0</v>
      </c>
      <c r="Q84" s="7"/>
      <c r="R84" s="134"/>
      <c r="S84" s="7"/>
      <c r="U84" s="84">
        <f t="shared" si="2"/>
        <v>0</v>
      </c>
      <c r="V84" s="84"/>
      <c r="W84" s="82"/>
      <c r="X84" s="136"/>
    </row>
    <row r="85" spans="2:24" s="131" customFormat="1" ht="3.75" customHeight="1" x14ac:dyDescent="0.25">
      <c r="C85" s="127"/>
      <c r="L85" s="155"/>
      <c r="M85" s="144"/>
      <c r="N85" s="141"/>
      <c r="O85" s="144"/>
      <c r="P85" s="371"/>
      <c r="U85" s="84">
        <f t="shared" si="2"/>
        <v>0</v>
      </c>
      <c r="V85" s="84"/>
      <c r="W85" s="82"/>
      <c r="X85" s="136"/>
    </row>
    <row r="86" spans="2:24" s="131" customFormat="1" ht="15" customHeight="1" x14ac:dyDescent="0.25">
      <c r="B86" s="129"/>
      <c r="C86" s="132" t="s">
        <v>192</v>
      </c>
      <c r="D86" s="136"/>
      <c r="E86" s="387" t="s">
        <v>178</v>
      </c>
      <c r="F86" s="388"/>
      <c r="G86" s="388"/>
      <c r="H86" s="388"/>
      <c r="I86" s="389"/>
      <c r="J86" s="156"/>
      <c r="K86" s="167"/>
      <c r="L86" s="155" t="str">
        <f>IFERROR(IF(INDEX('EBM00255'!B:B,MATCH(E86,'EBM00255'!C:C,0))=0,"",INDEX('EBM00255'!B:B,MATCH(E86,'EBM00255'!C:C,0))),"")</f>
        <v>---</v>
      </c>
      <c r="M86" s="148"/>
      <c r="N86" s="141">
        <f>VLOOKUP(L86,'EBM00255'!B:F,3,FALSE)</f>
        <v>0</v>
      </c>
      <c r="O86" s="144"/>
      <c r="P86" s="371">
        <f>IFERROR(VLOOKUP(L86,'EBM00255'!$B:$F,4,),)</f>
        <v>0</v>
      </c>
      <c r="Q86" s="7"/>
      <c r="R86" s="8"/>
      <c r="S86" s="130"/>
      <c r="U86" s="84">
        <f t="shared" si="2"/>
        <v>0</v>
      </c>
      <c r="V86" s="84"/>
      <c r="W86" s="82"/>
      <c r="X86" s="136"/>
    </row>
    <row r="87" spans="2:24" s="131" customFormat="1" ht="4.5" customHeight="1" x14ac:dyDescent="0.25">
      <c r="B87" s="129"/>
      <c r="C87" s="132"/>
      <c r="D87" s="136"/>
      <c r="E87" s="156"/>
      <c r="F87" s="156"/>
      <c r="G87" s="156"/>
      <c r="H87" s="156"/>
      <c r="I87" s="156"/>
      <c r="J87" s="156"/>
      <c r="K87" s="167"/>
      <c r="L87" s="155"/>
      <c r="M87" s="148"/>
      <c r="N87" s="141"/>
      <c r="O87" s="144"/>
      <c r="P87" s="371"/>
      <c r="Q87" s="7"/>
      <c r="R87" s="8"/>
      <c r="S87" s="130"/>
      <c r="U87" s="84">
        <f t="shared" si="2"/>
        <v>0</v>
      </c>
      <c r="V87" s="84"/>
      <c r="W87" s="82"/>
      <c r="X87" s="136"/>
    </row>
    <row r="88" spans="2:24" s="131" customFormat="1" ht="15" customHeight="1" x14ac:dyDescent="0.25">
      <c r="B88" s="129"/>
      <c r="C88" s="132"/>
      <c r="D88" s="136"/>
      <c r="E88" s="156" t="str">
        <f>IF($E$86&lt;&gt;"---",'EBM00255'!C127,"---")</f>
        <v>---</v>
      </c>
      <c r="F88" s="156"/>
      <c r="G88" s="156"/>
      <c r="H88" s="156"/>
      <c r="I88" s="156"/>
      <c r="J88" s="156"/>
      <c r="K88" s="167"/>
      <c r="L88" s="160" t="str">
        <f>IFERROR(IF(INDEX('EBM00255'!B:B,MATCH(E88,'EBM00255'!C:C,0))=0,"",INDEX('EBM00255'!B:B,MATCH(E88,'EBM00255'!C:C,0))),"")</f>
        <v>---</v>
      </c>
      <c r="M88" s="148"/>
      <c r="N88" s="141">
        <f>VLOOKUP(L88,'EBM00255'!B:F,3,FALSE)</f>
        <v>0</v>
      </c>
      <c r="O88" s="144" t="str">
        <f>IFERROR(VLOOKUP(L88,#REF!,4,FALSE),"")</f>
        <v/>
      </c>
      <c r="P88" s="371">
        <f>IFERROR(VLOOKUP(L88,'EBM00255'!$B:$F,4,),)</f>
        <v>0</v>
      </c>
      <c r="Q88" s="7"/>
      <c r="R88" s="8"/>
      <c r="S88" s="130"/>
      <c r="U88" s="84">
        <f t="shared" si="2"/>
        <v>0</v>
      </c>
      <c r="V88" s="84"/>
      <c r="W88" s="82"/>
      <c r="X88" s="136"/>
    </row>
    <row r="89" spans="2:24" s="131" customFormat="1" ht="15" customHeight="1" x14ac:dyDescent="0.25">
      <c r="B89" s="129"/>
      <c r="C89" s="132"/>
      <c r="D89" s="136"/>
      <c r="E89" s="169" t="str">
        <f>IF($E$86&lt;&gt;"---",'EBM00255'!C128,"---")</f>
        <v>---</v>
      </c>
      <c r="F89" s="169"/>
      <c r="G89" s="169"/>
      <c r="H89" s="169"/>
      <c r="I89" s="169"/>
      <c r="J89" s="169"/>
      <c r="K89" s="169"/>
      <c r="L89" s="168" t="str">
        <f>IFERROR(IF(INDEX('EBM00255'!B:B,MATCH(E89,'EBM00255'!C:C,0))=0,"",INDEX('EBM00255'!B:B,MATCH(E89,'EBM00255'!C:C,0))),"")</f>
        <v>---</v>
      </c>
      <c r="M89" s="148"/>
      <c r="N89" s="141">
        <f>VLOOKUP(L89,'EBM00255'!B:F,3,FALSE)</f>
        <v>0</v>
      </c>
      <c r="O89" s="144" t="str">
        <f>IFERROR(VLOOKUP(L89,#REF!,4,FALSE),"")</f>
        <v/>
      </c>
      <c r="P89" s="371">
        <f>IFERROR(VLOOKUP(L89,'EBM00255'!$B:$F,4,),)</f>
        <v>0</v>
      </c>
      <c r="Q89" s="7"/>
      <c r="R89" s="8"/>
      <c r="S89" s="130"/>
      <c r="U89" s="84">
        <f t="shared" si="2"/>
        <v>0</v>
      </c>
      <c r="V89" s="84"/>
      <c r="W89" s="82"/>
      <c r="X89" s="136"/>
    </row>
    <row r="90" spans="2:24" s="131" customFormat="1" ht="15" customHeight="1" x14ac:dyDescent="0.25">
      <c r="B90" s="129"/>
      <c r="C90" s="132"/>
      <c r="D90" s="136"/>
      <c r="E90" s="169" t="str">
        <f>'EBM00255'!C129</f>
        <v>Gehäuse AC1+2 Slotblech</v>
      </c>
      <c r="F90" s="169"/>
      <c r="G90" s="169"/>
      <c r="H90" s="169"/>
      <c r="I90" s="169"/>
      <c r="J90" s="169"/>
      <c r="K90" s="169"/>
      <c r="L90" s="168">
        <f>IFERROR(IF(INDEX('EBM00255'!B:B,MATCH(E90,'EBM00255'!C:C,0))=0,"",INDEX('EBM00255'!B:B,MATCH(E90,'EBM00255'!C:C,0))),"")</f>
        <v>9827049</v>
      </c>
      <c r="M90" s="148"/>
      <c r="N90" s="141">
        <f>IF(N104&gt;0,0,IF(OR(E86&lt;&gt;"---",N102=2,N102=3),1,2))</f>
        <v>2</v>
      </c>
      <c r="O90" s="144" t="str">
        <f>IFERROR(VLOOKUP(L90,#REF!,4,FALSE),"")</f>
        <v/>
      </c>
      <c r="P90" s="371">
        <f>IFERROR(VLOOKUP(L90,'EBM00255'!$B:$F,4,),)</f>
        <v>2.7037037037037033</v>
      </c>
      <c r="Q90" s="7"/>
      <c r="R90" s="8"/>
      <c r="S90" s="130"/>
      <c r="U90" s="84">
        <f t="shared" si="2"/>
        <v>5.4074074074074066</v>
      </c>
      <c r="V90" s="84"/>
      <c r="W90" s="82"/>
      <c r="X90" s="136"/>
    </row>
    <row r="91" spans="2:24" s="131" customFormat="1" ht="4.5" customHeight="1" x14ac:dyDescent="0.25">
      <c r="B91" s="129"/>
      <c r="C91" s="132"/>
      <c r="D91" s="136"/>
      <c r="E91" s="156"/>
      <c r="F91" s="156"/>
      <c r="G91" s="156"/>
      <c r="H91" s="156"/>
      <c r="I91" s="156"/>
      <c r="J91" s="156"/>
      <c r="K91" s="167"/>
      <c r="L91" s="155"/>
      <c r="M91" s="148"/>
      <c r="N91" s="155"/>
      <c r="O91" s="144"/>
      <c r="P91" s="371"/>
      <c r="Q91" s="7"/>
      <c r="R91" s="8"/>
      <c r="S91" s="130"/>
      <c r="U91" s="84">
        <f t="shared" si="2"/>
        <v>0</v>
      </c>
      <c r="V91" s="84"/>
      <c r="W91" s="82"/>
      <c r="X91" s="136"/>
    </row>
    <row r="92" spans="2:24" s="131" customFormat="1" ht="15" customHeight="1" x14ac:dyDescent="0.25">
      <c r="B92" s="129"/>
      <c r="C92" s="132" t="s">
        <v>195</v>
      </c>
      <c r="D92" s="136"/>
      <c r="E92" s="387" t="s">
        <v>178</v>
      </c>
      <c r="F92" s="388"/>
      <c r="G92" s="388"/>
      <c r="H92" s="388"/>
      <c r="I92" s="389"/>
      <c r="J92" s="136"/>
      <c r="K92" s="136"/>
      <c r="L92" s="155"/>
      <c r="M92" s="148"/>
      <c r="N92" s="155"/>
      <c r="O92" s="144"/>
      <c r="P92" s="371"/>
      <c r="R92" s="8"/>
      <c r="S92" s="130"/>
      <c r="U92" s="84">
        <f t="shared" si="2"/>
        <v>0</v>
      </c>
      <c r="V92" s="84"/>
      <c r="W92" s="82"/>
      <c r="X92" s="136"/>
    </row>
    <row r="93" spans="2:24" s="131" customFormat="1" x14ac:dyDescent="0.25">
      <c r="C93" s="145"/>
      <c r="E93" s="131" t="str">
        <f>IF($E$92="---","---",'EBM00255'!C121)</f>
        <v>---</v>
      </c>
      <c r="L93" s="160" t="str">
        <f>IFERROR(IF(INDEX('EBM00255'!B:B,MATCH(E93,'EBM00255'!C:C,0))=0,"",INDEX('EBM00255'!B:B,MATCH(E93,'EBM00255'!C:C,0))),"")</f>
        <v>---</v>
      </c>
      <c r="M93" s="144"/>
      <c r="N93" s="141">
        <f>VLOOKUP(L93,'EBM00255'!B:F,3,FALSE)</f>
        <v>0</v>
      </c>
      <c r="O93" s="144" t="str">
        <f>IFERROR(VLOOKUP(L93,#REF!,4,FALSE),"")</f>
        <v/>
      </c>
      <c r="P93" s="371">
        <f>IFERROR(VLOOKUP(L93,'EBM00255'!$B:$F,4,),)</f>
        <v>0</v>
      </c>
      <c r="U93" s="84">
        <f t="shared" si="2"/>
        <v>0</v>
      </c>
      <c r="V93" s="84"/>
      <c r="W93" s="82"/>
      <c r="X93" s="136"/>
    </row>
    <row r="94" spans="2:24" s="131" customFormat="1" x14ac:dyDescent="0.25">
      <c r="C94" s="145"/>
      <c r="E94" s="131" t="str">
        <f>IF($E$92="---","---",'EBM00255'!C122)</f>
        <v>---</v>
      </c>
      <c r="L94" s="160" t="str">
        <f>IFERROR(IF(INDEX('EBM00255'!B:B,MATCH(E94,'EBM00255'!C:C,0))=0,"",INDEX('EBM00255'!B:B,MATCH(E94,'EBM00255'!C:C,0))),"")</f>
        <v>---</v>
      </c>
      <c r="M94" s="144"/>
      <c r="N94" s="141">
        <f>VLOOKUP(L94,'EBM00255'!B:F,3,FALSE)</f>
        <v>0</v>
      </c>
      <c r="O94" s="144" t="str">
        <f>IFERROR(VLOOKUP(L94,#REF!,4,FALSE),"")</f>
        <v/>
      </c>
      <c r="P94" s="371">
        <f>IFERROR(VLOOKUP(L94,'EBM00255'!$B:$F,4,),)</f>
        <v>0</v>
      </c>
      <c r="U94" s="84">
        <f t="shared" si="2"/>
        <v>0</v>
      </c>
      <c r="V94" s="84"/>
      <c r="W94" s="82"/>
      <c r="X94" s="136"/>
    </row>
    <row r="95" spans="2:24" s="131" customFormat="1" ht="4.5" customHeight="1" x14ac:dyDescent="0.25">
      <c r="C95" s="132"/>
      <c r="L95" s="155"/>
      <c r="M95" s="144"/>
      <c r="N95" s="141"/>
      <c r="O95" s="144"/>
      <c r="P95" s="371"/>
      <c r="U95" s="84">
        <f t="shared" si="2"/>
        <v>0</v>
      </c>
      <c r="V95" s="84"/>
      <c r="W95" s="82"/>
      <c r="X95" s="136"/>
    </row>
    <row r="96" spans="2:24" s="131" customFormat="1" x14ac:dyDescent="0.25">
      <c r="B96" s="140"/>
      <c r="C96" s="165" t="s">
        <v>67</v>
      </c>
      <c r="E96" s="387" t="s">
        <v>178</v>
      </c>
      <c r="F96" s="388"/>
      <c r="G96" s="388"/>
      <c r="H96" s="388"/>
      <c r="I96" s="389"/>
      <c r="L96" s="155"/>
      <c r="M96" s="144"/>
      <c r="N96" s="141"/>
      <c r="O96" s="144" t="str">
        <f>IFERROR(VLOOKUP(L96,#REF!,4,FALSE),"")</f>
        <v/>
      </c>
      <c r="P96" s="371"/>
      <c r="U96" s="84">
        <f t="shared" si="2"/>
        <v>0</v>
      </c>
      <c r="V96" s="84"/>
      <c r="W96" s="82"/>
      <c r="X96" s="136"/>
    </row>
    <row r="97" spans="1:24" s="131" customFormat="1" x14ac:dyDescent="0.25">
      <c r="C97" s="145"/>
      <c r="E97" s="131" t="str">
        <f>IF($E$96="---","---",IF($E$96='EBM00255'!$C$132,'EBM00255'!C139,'EBM00255'!C134))</f>
        <v>---</v>
      </c>
      <c r="L97" s="160" t="str">
        <f>IFERROR(IF(INDEX('EBM00255'!B:B,MATCH(E97,'EBM00255'!C:C,0))=0,"",INDEX('EBM00255'!B:B,MATCH(E97,'EBM00255'!C:C,0))),"")</f>
        <v>---</v>
      </c>
      <c r="M97" s="144"/>
      <c r="N97" s="141">
        <f>VLOOKUP(L97,'EBM00255'!B:F,3,FALSE)</f>
        <v>0</v>
      </c>
      <c r="O97" s="144" t="str">
        <f>IFERROR(VLOOKUP(L97,#REF!,4,FALSE),"")</f>
        <v/>
      </c>
      <c r="P97" s="371">
        <f>IFERROR(VLOOKUP(L97,'EBM00255'!$B:$F,4,),)</f>
        <v>0</v>
      </c>
      <c r="U97" s="84">
        <f t="shared" si="2"/>
        <v>0</v>
      </c>
      <c r="V97" s="84"/>
      <c r="W97" s="82"/>
      <c r="X97" s="136"/>
    </row>
    <row r="98" spans="1:24" s="131" customFormat="1" x14ac:dyDescent="0.25">
      <c r="C98" s="145"/>
      <c r="E98" s="131" t="str">
        <f>IF($E$96="---","---",IF($E$96='EBM00255'!$C$132,'EBM00255'!C140,'EBM00255'!C135))</f>
        <v>---</v>
      </c>
      <c r="L98" s="160" t="str">
        <f>IFERROR(IF(INDEX('EBM00255'!B:B,MATCH(E98,'EBM00255'!C:C,0))=0,"",INDEX('EBM00255'!B:B,MATCH(E98,'EBM00255'!C:C,0))),"")</f>
        <v>---</v>
      </c>
      <c r="M98" s="144"/>
      <c r="N98" s="141">
        <f>VLOOKUP(L98,'EBM00255'!B:F,3,FALSE)</f>
        <v>0</v>
      </c>
      <c r="O98" s="144" t="str">
        <f>IFERROR(VLOOKUP(L98,#REF!,4,FALSE),"")</f>
        <v/>
      </c>
      <c r="P98" s="371">
        <f>IFERROR(VLOOKUP(L98,'EBM00255'!$B:$F,4,),)</f>
        <v>0</v>
      </c>
      <c r="U98" s="84">
        <f t="shared" si="2"/>
        <v>0</v>
      </c>
      <c r="V98" s="84"/>
      <c r="W98" s="82"/>
      <c r="X98" s="136"/>
    </row>
    <row r="99" spans="1:24" s="131" customFormat="1" x14ac:dyDescent="0.25">
      <c r="C99" s="145"/>
      <c r="E99" s="131" t="str">
        <f>IF($E$96="---","---",IF($E$96='EBM00255'!$C$132,'EBM00255'!C141,'EBM00255'!C136))</f>
        <v>---</v>
      </c>
      <c r="L99" s="160" t="str">
        <f>IFERROR(IF(INDEX('EBM00255'!B:B,MATCH(E99,'EBM00255'!C:C,0))=0,"",INDEX('EBM00255'!B:B,MATCH(E99,'EBM00255'!C:C,0))),"")</f>
        <v>---</v>
      </c>
      <c r="M99" s="144"/>
      <c r="N99" s="141">
        <f>VLOOKUP(L99,'EBM00255'!B:F,3,FALSE)</f>
        <v>0</v>
      </c>
      <c r="O99" s="144" t="str">
        <f>IFERROR(VLOOKUP(L99,#REF!,4,FALSE),"")</f>
        <v/>
      </c>
      <c r="P99" s="371">
        <f>IFERROR(VLOOKUP(L99,'EBM00255'!$B:$F,4,),)</f>
        <v>0</v>
      </c>
      <c r="U99" s="84">
        <f t="shared" si="2"/>
        <v>0</v>
      </c>
      <c r="V99" s="84"/>
      <c r="W99" s="82"/>
      <c r="X99" s="136"/>
    </row>
    <row r="100" spans="1:24" s="131" customFormat="1" ht="3.75" customHeight="1" x14ac:dyDescent="0.25">
      <c r="C100" s="145"/>
      <c r="L100" s="155"/>
      <c r="M100" s="144"/>
      <c r="N100" s="141"/>
      <c r="O100" s="144"/>
      <c r="P100" s="371"/>
      <c r="U100" s="84">
        <f t="shared" si="2"/>
        <v>0</v>
      </c>
      <c r="V100" s="84"/>
      <c r="W100" s="82"/>
      <c r="X100" s="136"/>
    </row>
    <row r="101" spans="1:24" s="131" customFormat="1" ht="3.75" customHeight="1" x14ac:dyDescent="0.25">
      <c r="C101" s="145"/>
      <c r="L101" s="155"/>
      <c r="M101" s="144"/>
      <c r="N101" s="141"/>
      <c r="O101" s="144"/>
      <c r="P101" s="371"/>
      <c r="U101" s="84">
        <f t="shared" si="2"/>
        <v>0</v>
      </c>
      <c r="V101" s="84"/>
      <c r="W101" s="82"/>
      <c r="X101" s="136"/>
    </row>
    <row r="102" spans="1:24" s="131" customFormat="1" x14ac:dyDescent="0.25">
      <c r="A102" s="144">
        <v>0</v>
      </c>
      <c r="B102" s="44"/>
      <c r="C102" s="132" t="s">
        <v>534</v>
      </c>
      <c r="E102" s="13" t="s">
        <v>200</v>
      </c>
      <c r="L102" s="50" t="str">
        <f>N102&amp;N104</f>
        <v>10</v>
      </c>
      <c r="M102" s="144"/>
      <c r="N102" s="67">
        <v>1</v>
      </c>
      <c r="O102" s="144"/>
      <c r="P102" s="371"/>
      <c r="U102" s="84">
        <f t="shared" si="2"/>
        <v>0</v>
      </c>
      <c r="V102" s="84"/>
      <c r="W102" s="82"/>
      <c r="X102" s="136"/>
    </row>
    <row r="103" spans="1:24" s="131" customFormat="1" ht="3.75" customHeight="1" x14ac:dyDescent="0.25">
      <c r="A103" s="144">
        <v>1</v>
      </c>
      <c r="C103" s="145"/>
      <c r="E103" s="120" t="s">
        <v>201</v>
      </c>
      <c r="L103" s="48"/>
      <c r="M103" s="144"/>
      <c r="N103" s="141">
        <v>0</v>
      </c>
      <c r="O103" s="144"/>
      <c r="P103" s="371"/>
      <c r="U103" s="84">
        <f t="shared" si="2"/>
        <v>0</v>
      </c>
      <c r="V103" s="84"/>
      <c r="W103" s="82"/>
      <c r="X103" s="136"/>
    </row>
    <row r="104" spans="1:24" s="131" customFormat="1" x14ac:dyDescent="0.25">
      <c r="A104" s="144">
        <v>2</v>
      </c>
      <c r="C104" s="128" t="s">
        <v>535</v>
      </c>
      <c r="E104" s="13" t="s">
        <v>202</v>
      </c>
      <c r="L104" s="155"/>
      <c r="M104" s="144"/>
      <c r="N104" s="67">
        <v>0</v>
      </c>
      <c r="O104" s="144"/>
      <c r="P104" s="371"/>
      <c r="U104" s="84">
        <f t="shared" ref="U104:U136" si="3">N104*P104</f>
        <v>0</v>
      </c>
      <c r="V104" s="84"/>
      <c r="W104" s="82"/>
      <c r="X104" s="136"/>
    </row>
    <row r="105" spans="1:24" s="131" customFormat="1" ht="6" customHeight="1" x14ac:dyDescent="0.25">
      <c r="A105" s="144">
        <v>3</v>
      </c>
      <c r="C105" s="145"/>
      <c r="L105" s="155"/>
      <c r="M105" s="144"/>
      <c r="N105" s="141"/>
      <c r="O105" s="144"/>
      <c r="P105" s="371"/>
      <c r="U105" s="84">
        <f t="shared" si="3"/>
        <v>0</v>
      </c>
      <c r="V105" s="84"/>
      <c r="W105" s="82"/>
      <c r="X105" s="136"/>
    </row>
    <row r="106" spans="1:24" s="131" customFormat="1" x14ac:dyDescent="0.25">
      <c r="A106" s="144">
        <v>4</v>
      </c>
      <c r="C106" s="145"/>
      <c r="E106" s="131" t="e">
        <f>'AC³ RS232 Konfig-Übersicht'!B5</f>
        <v>#REF!</v>
      </c>
      <c r="L106" s="155" t="str">
        <f>IFERROR(IF(INDEX('AC³ RS232 Konfig-Übersicht'!A:A,MATCH(E106,'AC³ RS232 Konfig-Übersicht'!B:B,0))=0,"",INDEX('AC³ RS232 Konfig-Übersicht'!A:A,MATCH(E106,'AC³ RS232 Konfig-Übersicht'!B:B,0))),"")</f>
        <v/>
      </c>
      <c r="M106" s="144"/>
      <c r="N106" s="141">
        <f>HLOOKUP($L$102,'AC³ RS232 Konfig-Übersicht'!$C$4:$Q$15,2,FALSE)</f>
        <v>1</v>
      </c>
      <c r="O106" s="144"/>
      <c r="P106" s="371">
        <f>IFERROR(VLOOKUP(L106,'EBM00255'!$B:$F,4,),)</f>
        <v>0</v>
      </c>
      <c r="U106" s="84">
        <f t="shared" si="3"/>
        <v>0</v>
      </c>
      <c r="V106" s="84"/>
      <c r="W106" s="82"/>
      <c r="X106" s="136"/>
    </row>
    <row r="107" spans="1:24" s="131" customFormat="1" x14ac:dyDescent="0.25">
      <c r="C107" s="145"/>
      <c r="E107" s="131" t="e">
        <f>'AC³ RS232 Konfig-Übersicht'!B6</f>
        <v>#REF!</v>
      </c>
      <c r="L107" s="168" t="str">
        <f>IFERROR(IF(INDEX('AC³ RS232 Konfig-Übersicht'!A:A,MATCH(E107,'AC³ RS232 Konfig-Übersicht'!B:B,0))=0,"",INDEX('AC³ RS232 Konfig-Übersicht'!A:A,MATCH(E107,'AC³ RS232 Konfig-Übersicht'!B:B,0))),"")</f>
        <v/>
      </c>
      <c r="M107" s="144"/>
      <c r="N107" s="141">
        <f>HLOOKUP($L$102,'AC³ RS232 Konfig-Übersicht'!$C$4:$Q$15,3,FALSE)</f>
        <v>0</v>
      </c>
      <c r="O107" s="144"/>
      <c r="P107" s="371">
        <f>IFERROR(VLOOKUP(L107,'EBM00255'!$B:$F,4,),)</f>
        <v>0</v>
      </c>
      <c r="U107" s="84">
        <f t="shared" si="3"/>
        <v>0</v>
      </c>
      <c r="V107" s="84"/>
      <c r="W107" s="82"/>
      <c r="X107" s="136"/>
    </row>
    <row r="108" spans="1:24" s="131" customFormat="1" x14ac:dyDescent="0.25">
      <c r="C108" s="145"/>
      <c r="E108" s="131" t="e">
        <f>'AC³ RS232 Konfig-Übersicht'!B7</f>
        <v>#REF!</v>
      </c>
      <c r="L108" s="168" t="str">
        <f>IFERROR(IF(INDEX('AC³ RS232 Konfig-Übersicht'!A:A,MATCH(E108,'AC³ RS232 Konfig-Übersicht'!B:B,0))=0,"",INDEX('AC³ RS232 Konfig-Übersicht'!A:A,MATCH(E108,'AC³ RS232 Konfig-Übersicht'!B:B,0))),"")</f>
        <v/>
      </c>
      <c r="M108" s="144"/>
      <c r="N108" s="141">
        <f>HLOOKUP($L$102,'AC³ RS232 Konfig-Übersicht'!$C$4:$Q$15,4,FALSE)</f>
        <v>0</v>
      </c>
      <c r="O108" s="144"/>
      <c r="P108" s="371">
        <f>IFERROR(VLOOKUP(L108,'EBM00255'!$B:$F,4,),)</f>
        <v>0</v>
      </c>
      <c r="U108" s="84">
        <f t="shared" si="3"/>
        <v>0</v>
      </c>
      <c r="V108" s="84"/>
      <c r="W108" s="82"/>
      <c r="X108" s="136"/>
    </row>
    <row r="109" spans="1:24" s="131" customFormat="1" x14ac:dyDescent="0.25">
      <c r="C109" s="145"/>
      <c r="E109" s="131" t="e">
        <f>'AC³ RS232 Konfig-Übersicht'!B8</f>
        <v>#REF!</v>
      </c>
      <c r="L109" s="168" t="str">
        <f>IFERROR(IF(INDEX('AC³ RS232 Konfig-Übersicht'!A:A,MATCH(E109,'AC³ RS232 Konfig-Übersicht'!B:B,0))=0,"",INDEX('AC³ RS232 Konfig-Übersicht'!A:A,MATCH(E109,'AC³ RS232 Konfig-Übersicht'!B:B,0))),"")</f>
        <v/>
      </c>
      <c r="M109" s="144"/>
      <c r="N109" s="141">
        <f>HLOOKUP($L$102,'AC³ RS232 Konfig-Übersicht'!$C$4:$Q$15,5,FALSE)</f>
        <v>0</v>
      </c>
      <c r="O109" s="144"/>
      <c r="P109" s="371">
        <f>IFERROR(VLOOKUP(L109,'EBM00255'!$B:$F,4,),)</f>
        <v>0</v>
      </c>
      <c r="U109" s="84">
        <f t="shared" si="3"/>
        <v>0</v>
      </c>
      <c r="V109" s="84"/>
      <c r="W109" s="82"/>
      <c r="X109" s="136"/>
    </row>
    <row r="110" spans="1:24" s="131" customFormat="1" x14ac:dyDescent="0.25">
      <c r="C110" s="145"/>
      <c r="E110" s="131" t="e">
        <f>'AC³ RS232 Konfig-Übersicht'!B9</f>
        <v>#REF!</v>
      </c>
      <c r="L110" s="168" t="str">
        <f>IFERROR(IF(INDEX('AC³ RS232 Konfig-Übersicht'!A:A,MATCH(E110,'AC³ RS232 Konfig-Übersicht'!B:B,0))=0,"",INDEX('AC³ RS232 Konfig-Übersicht'!A:A,MATCH(E110,'AC³ RS232 Konfig-Übersicht'!B:B,0))),"")</f>
        <v/>
      </c>
      <c r="M110" s="144"/>
      <c r="N110" s="141">
        <f>HLOOKUP($L$102,'AC³ RS232 Konfig-Übersicht'!$C$4:$Q$15,6,FALSE)</f>
        <v>0</v>
      </c>
      <c r="O110" s="144"/>
      <c r="P110" s="371">
        <f>IFERROR(VLOOKUP(L110,'EBM00255'!$B:$F,4,),)</f>
        <v>0</v>
      </c>
      <c r="U110" s="84">
        <f t="shared" si="3"/>
        <v>0</v>
      </c>
      <c r="V110" s="84"/>
      <c r="W110" s="82"/>
      <c r="X110" s="136"/>
    </row>
    <row r="111" spans="1:24" s="131" customFormat="1" x14ac:dyDescent="0.25">
      <c r="C111" s="145"/>
      <c r="E111" s="131" t="e">
        <f>'AC³ RS232 Konfig-Übersicht'!B10</f>
        <v>#REF!</v>
      </c>
      <c r="L111" s="168" t="str">
        <f>IFERROR(IF(INDEX('AC³ RS232 Konfig-Übersicht'!A:A,MATCH(E111,'AC³ RS232 Konfig-Übersicht'!B:B,0))=0,"",INDEX('AC³ RS232 Konfig-Übersicht'!A:A,MATCH(E111,'AC³ RS232 Konfig-Übersicht'!B:B,0))),"")</f>
        <v/>
      </c>
      <c r="M111" s="144"/>
      <c r="N111" s="141">
        <f>HLOOKUP($L$102,'AC³ RS232 Konfig-Übersicht'!$C$4:$Q$15,7,FALSE)</f>
        <v>0</v>
      </c>
      <c r="O111" s="144"/>
      <c r="P111" s="371">
        <f>IFERROR(VLOOKUP(L111,'EBM00255'!$B:$F,4,),)</f>
        <v>0</v>
      </c>
      <c r="U111" s="84">
        <f t="shared" si="3"/>
        <v>0</v>
      </c>
      <c r="V111" s="84"/>
      <c r="W111" s="82"/>
      <c r="X111" s="136"/>
    </row>
    <row r="112" spans="1:24" s="131" customFormat="1" x14ac:dyDescent="0.25">
      <c r="C112" s="145"/>
      <c r="E112" s="131" t="e">
        <f>'AC³ RS232 Konfig-Übersicht'!B11</f>
        <v>#REF!</v>
      </c>
      <c r="L112" s="168" t="str">
        <f>IFERROR(IF(INDEX('AC³ RS232 Konfig-Übersicht'!A:A,MATCH(E112,'AC³ RS232 Konfig-Übersicht'!B:B,0))=0,"",INDEX('AC³ RS232 Konfig-Übersicht'!A:A,MATCH(E112,'AC³ RS232 Konfig-Übersicht'!B:B,0))),"")</f>
        <v/>
      </c>
      <c r="M112" s="144"/>
      <c r="N112" s="141">
        <f>HLOOKUP($L$102,'AC³ RS232 Konfig-Übersicht'!$C$4:$Q$15,8,FALSE)</f>
        <v>0</v>
      </c>
      <c r="O112" s="144"/>
      <c r="P112" s="371">
        <f>IFERROR(VLOOKUP(L112,'EBM00255'!$B:$F,4,),)</f>
        <v>0</v>
      </c>
      <c r="U112" s="84">
        <f t="shared" si="3"/>
        <v>0</v>
      </c>
      <c r="V112" s="84"/>
      <c r="W112" s="82"/>
      <c r="X112" s="136"/>
    </row>
    <row r="113" spans="2:24" s="131" customFormat="1" x14ac:dyDescent="0.25">
      <c r="C113" s="145"/>
      <c r="E113" s="131" t="e">
        <f>'AC³ RS232 Konfig-Übersicht'!B12</f>
        <v>#REF!</v>
      </c>
      <c r="L113" s="168" t="str">
        <f>IFERROR(IF(INDEX('AC³ RS232 Konfig-Übersicht'!A:A,MATCH(E113,'AC³ RS232 Konfig-Übersicht'!B:B,0))=0,"",INDEX('AC³ RS232 Konfig-Übersicht'!A:A,MATCH(E113,'AC³ RS232 Konfig-Übersicht'!B:B,0))),"")</f>
        <v/>
      </c>
      <c r="M113" s="144"/>
      <c r="N113" s="141">
        <f>HLOOKUP($L$102,'AC³ RS232 Konfig-Übersicht'!$C$4:$Q$15,9,FALSE)</f>
        <v>0</v>
      </c>
      <c r="O113" s="144"/>
      <c r="P113" s="371">
        <f>IFERROR(VLOOKUP(L113,'EBM00255'!$B:$F,4,),)</f>
        <v>0</v>
      </c>
      <c r="U113" s="84">
        <f t="shared" si="3"/>
        <v>0</v>
      </c>
      <c r="V113" s="84"/>
      <c r="W113" s="82"/>
      <c r="X113" s="136"/>
    </row>
    <row r="114" spans="2:24" s="131" customFormat="1" x14ac:dyDescent="0.25">
      <c r="C114" s="145"/>
      <c r="E114" s="131" t="e">
        <f>'AC³ RS232 Konfig-Übersicht'!B13</f>
        <v>#REF!</v>
      </c>
      <c r="L114" s="168" t="str">
        <f>IFERROR(IF(INDEX('AC³ RS232 Konfig-Übersicht'!A:A,MATCH(E114,'AC³ RS232 Konfig-Übersicht'!B:B,0))=0,"",INDEX('AC³ RS232 Konfig-Übersicht'!A:A,MATCH(E114,'AC³ RS232 Konfig-Übersicht'!B:B,0))),"")</f>
        <v/>
      </c>
      <c r="M114" s="144"/>
      <c r="N114" s="141">
        <f>HLOOKUP($L$102,'AC³ RS232 Konfig-Übersicht'!$C$4:$Q$15,10,FALSE)</f>
        <v>0</v>
      </c>
      <c r="O114" s="144"/>
      <c r="P114" s="371">
        <f>IFERROR(VLOOKUP(L114,'EBM00255'!$B:$F,4,),)</f>
        <v>0</v>
      </c>
      <c r="U114" s="84">
        <f t="shared" si="3"/>
        <v>0</v>
      </c>
      <c r="V114" s="84"/>
      <c r="W114" s="82"/>
      <c r="X114" s="136"/>
    </row>
    <row r="115" spans="2:24" s="131" customFormat="1" x14ac:dyDescent="0.25">
      <c r="C115" s="145"/>
      <c r="E115" s="140" t="e">
        <f>'AC³ RS232 Konfig-Übersicht'!B14</f>
        <v>#REF!</v>
      </c>
      <c r="L115" s="168" t="str">
        <f>IFERROR(IF(INDEX('AC³ RS232 Konfig-Übersicht'!A:A,MATCH(E115,'AC³ RS232 Konfig-Übersicht'!B:B,0))=0,"",INDEX('AC³ RS232 Konfig-Übersicht'!A:A,MATCH(E115,'AC³ RS232 Konfig-Übersicht'!B:B,0))),"")</f>
        <v/>
      </c>
      <c r="M115" s="144"/>
      <c r="N115" s="141">
        <f>HLOOKUP($L$102,'AC³ RS232 Konfig-Übersicht'!$C$4:$Q$15,11,FALSE)</f>
        <v>0</v>
      </c>
      <c r="O115" s="144"/>
      <c r="P115" s="371">
        <f>IFERROR(VLOOKUP(L115,'EBM00255'!$B:$F,4,),)</f>
        <v>0</v>
      </c>
      <c r="U115" s="84">
        <f t="shared" si="3"/>
        <v>0</v>
      </c>
      <c r="V115" s="84"/>
      <c r="W115" s="82"/>
      <c r="X115" s="136"/>
    </row>
    <row r="116" spans="2:24" s="131" customFormat="1" x14ac:dyDescent="0.25">
      <c r="C116" s="145"/>
      <c r="E116" s="131" t="e">
        <f>'AC³ RS232 Konfig-Übersicht'!B15</f>
        <v>#REF!</v>
      </c>
      <c r="L116" s="168" t="str">
        <f>IFERROR(IF(INDEX('AC³ RS232 Konfig-Übersicht'!A:A,MATCH(E116,'AC³ RS232 Konfig-Übersicht'!B:B,0))=0,"",INDEX('AC³ RS232 Konfig-Übersicht'!A:A,MATCH(E116,'AC³ RS232 Konfig-Übersicht'!B:B,0))),"")</f>
        <v/>
      </c>
      <c r="M116" s="144"/>
      <c r="N116" s="141">
        <f>HLOOKUP($L$102,'AC³ RS232 Konfig-Übersicht'!$C$4:$Q$15,12,FALSE)</f>
        <v>0</v>
      </c>
      <c r="O116" s="144"/>
      <c r="P116" s="371">
        <f>IFERROR(VLOOKUP(L116,'EBM00255'!$B:$F,4,),)</f>
        <v>0</v>
      </c>
      <c r="U116" s="84">
        <f t="shared" si="3"/>
        <v>0</v>
      </c>
      <c r="V116" s="84"/>
      <c r="W116" s="82"/>
      <c r="X116" s="136"/>
    </row>
    <row r="117" spans="2:24" s="131" customFormat="1" ht="6" customHeight="1" x14ac:dyDescent="0.25">
      <c r="C117" s="145"/>
      <c r="L117" s="155"/>
      <c r="M117" s="144"/>
      <c r="N117" s="155"/>
      <c r="O117" s="144"/>
      <c r="P117" s="371"/>
      <c r="U117" s="84">
        <f t="shared" si="3"/>
        <v>0</v>
      </c>
      <c r="V117" s="84"/>
      <c r="W117" s="82"/>
      <c r="X117" s="136"/>
    </row>
    <row r="118" spans="2:24" s="131" customFormat="1" x14ac:dyDescent="0.25">
      <c r="C118" s="145" t="s">
        <v>654</v>
      </c>
      <c r="E118" s="387" t="s">
        <v>257</v>
      </c>
      <c r="F118" s="388"/>
      <c r="G118" s="388"/>
      <c r="H118" s="388"/>
      <c r="I118" s="389"/>
      <c r="L118" s="155"/>
      <c r="M118" s="144"/>
      <c r="N118" s="155"/>
      <c r="O118" s="144" t="str">
        <f>IFERROR(VLOOKUP(L118,#REF!,4,FALSE),"")</f>
        <v/>
      </c>
      <c r="P118" s="371"/>
      <c r="U118" s="84">
        <f t="shared" si="3"/>
        <v>0</v>
      </c>
      <c r="V118" s="84"/>
      <c r="W118" s="82"/>
      <c r="X118" s="136"/>
    </row>
    <row r="119" spans="2:24" s="131" customFormat="1" x14ac:dyDescent="0.25">
      <c r="C119" s="128" t="s">
        <v>655</v>
      </c>
      <c r="E119" s="131" t="str">
        <f>IF(E118="Ja",'EBM00255'!C111,"")</f>
        <v/>
      </c>
      <c r="L119" s="155" t="str">
        <f>IFERROR(IF(INDEX('EBM00255'!B:B,MATCH(E119,'EBM00255'!C:C,0))=0,"",INDEX('EBM00255'!B:B,MATCH(E119,'EBM00255'!C:C,0))),"")</f>
        <v/>
      </c>
      <c r="M119" s="144"/>
      <c r="N119" s="141">
        <f>IF(E118="Ja",1,0)</f>
        <v>0</v>
      </c>
      <c r="O119" s="144"/>
      <c r="P119" s="371">
        <f>IFERROR(VLOOKUP(L119,'EBM00255'!$B:$F,4,),)</f>
        <v>0</v>
      </c>
      <c r="U119" s="84">
        <f t="shared" si="3"/>
        <v>0</v>
      </c>
      <c r="V119" s="84"/>
      <c r="W119" s="82"/>
      <c r="X119" s="136"/>
    </row>
    <row r="120" spans="2:24" s="131" customFormat="1" x14ac:dyDescent="0.25">
      <c r="C120" s="145"/>
      <c r="E120" s="131" t="str">
        <f>IF(OR(E118="Ja",N115&gt;0),'EBM00255'!C112,"")</f>
        <v/>
      </c>
      <c r="L120" s="168" t="str">
        <f>IFERROR(IF(INDEX('EBM00255'!B:B,MATCH(E120,'EBM00255'!C:C,0))=0,"",INDEX('EBM00255'!B:B,MATCH(E120,'EBM00255'!C:C,0))),"")</f>
        <v/>
      </c>
      <c r="M120" s="144"/>
      <c r="N120" s="141">
        <f>SUM(N119,N115)*2</f>
        <v>0</v>
      </c>
      <c r="O120" s="144"/>
      <c r="P120" s="371">
        <f>IFERROR(VLOOKUP(L120,'EBM00255'!$B:$F,4,),)</f>
        <v>0</v>
      </c>
      <c r="U120" s="84">
        <f t="shared" si="3"/>
        <v>0</v>
      </c>
      <c r="V120" s="84"/>
      <c r="W120" s="82"/>
      <c r="X120" s="136"/>
    </row>
    <row r="121" spans="2:24" s="131" customFormat="1" x14ac:dyDescent="0.25">
      <c r="B121" s="82"/>
      <c r="C121" s="139" t="s">
        <v>656</v>
      </c>
      <c r="E121" s="387" t="s">
        <v>178</v>
      </c>
      <c r="F121" s="388"/>
      <c r="G121" s="388"/>
      <c r="H121" s="388"/>
      <c r="I121" s="389"/>
      <c r="J121" s="156">
        <f>VLOOKUP(E121,'EBM00255'!C:K,9,FALSE)</f>
        <v>0</v>
      </c>
      <c r="K121" s="167"/>
      <c r="L121" s="155" t="str">
        <f>IFERROR(IF(INDEX('EBM00255'!B:B,MATCH(E121,'EBM00255'!C:C,0))=0,"",INDEX('EBM00255'!B:B,MATCH(E121,'EBM00255'!C:C,0))),"")</f>
        <v>---</v>
      </c>
      <c r="M121" s="147"/>
      <c r="N121" s="141">
        <f>VLOOKUP(L121,'EBM00255'!B:F,3,FALSE)</f>
        <v>0</v>
      </c>
      <c r="O121" s="144"/>
      <c r="P121" s="371"/>
      <c r="R121" s="134"/>
      <c r="S121" s="7"/>
      <c r="U121" s="84">
        <f t="shared" si="3"/>
        <v>0</v>
      </c>
      <c r="V121" s="84"/>
      <c r="W121" s="82"/>
      <c r="X121" s="136"/>
    </row>
    <row r="122" spans="2:24" s="131" customFormat="1" ht="6" customHeight="1" x14ac:dyDescent="0.25">
      <c r="C122" s="139"/>
      <c r="L122" s="163"/>
      <c r="M122" s="144"/>
      <c r="N122" s="163"/>
      <c r="O122" s="144"/>
      <c r="P122" s="371"/>
      <c r="U122" s="84">
        <f t="shared" si="3"/>
        <v>0</v>
      </c>
      <c r="V122" s="84"/>
      <c r="W122" s="82"/>
      <c r="X122" s="136"/>
    </row>
    <row r="123" spans="2:24" s="131" customFormat="1" x14ac:dyDescent="0.25">
      <c r="C123" s="145"/>
      <c r="E123" s="131" t="str">
        <f>IF(E121="---",'EBM00255'!C168,VLOOKUP(J123,'EBM00255'!A:C,3,FALSE))</f>
        <v>BIOS MCD AC³ (R1.16.0) WIN10 D3433-S2</v>
      </c>
      <c r="F123" s="131" t="str">
        <f>VLOOKUP(J123,'EBM00255'!A:C,3,FALSE)</f>
        <v>BIOS MCD AC³ (R1.16.0) WIN10 D3433-S2</v>
      </c>
      <c r="J123" s="131" t="str">
        <f>IF(L121=9990415,VLOOKUP("BIOS_7",'EBM00256'!A:A,1,FALSE),IF(L121="4100016M",VLOOKUP("BIOS_IGEL",'EBM00256'!A:A,1,FALSE),"BIOS_10"))</f>
        <v>BIOS_10</v>
      </c>
      <c r="K123" s="131" t="s">
        <v>714</v>
      </c>
      <c r="L123" s="163" t="str">
        <f>IFERROR(IF(INDEX('EBM00255'!B:B,MATCH(E123,'EBM00255'!C:C,0))=0,"",INDEX('EBM00255'!B:B,MATCH(E123,'EBM00255'!C:C,0))),"")</f>
        <v>8120061M</v>
      </c>
      <c r="M123" s="144"/>
      <c r="N123" s="141">
        <f>IFERROR(VLOOKUP(L123,'EBM00255'!B:F,3,FALSE),)</f>
        <v>1</v>
      </c>
      <c r="O123" s="144"/>
      <c r="P123" s="371">
        <f>IFERROR(VLOOKUP(L123,'EBM00255'!$B:$F,4,),)</f>
        <v>0</v>
      </c>
      <c r="R123" s="134"/>
      <c r="S123" s="7"/>
      <c r="U123" s="84">
        <f t="shared" si="3"/>
        <v>0</v>
      </c>
      <c r="V123" s="84"/>
      <c r="W123" s="82"/>
      <c r="X123" s="136"/>
    </row>
    <row r="124" spans="2:24" s="131" customFormat="1" x14ac:dyDescent="0.25">
      <c r="C124" s="145"/>
      <c r="E124" s="131" t="str">
        <f>IF(L121&lt;&gt;"4100016M",VLOOKUP(J121,'EBM00255'!A:C,3,FALSE),"")</f>
        <v>MS Windows 10 Pro 64 Bit [MUI] MCD inst.</v>
      </c>
      <c r="L124" s="163">
        <f>IFERROR(IF(INDEX('EBM00255'!B:B,MATCH(E124,'EBM00255'!C:C,0))=0,"",INDEX('EBM00255'!B:B,MATCH(E124,'EBM00255'!C:C,0))),"")</f>
        <v>9990544</v>
      </c>
      <c r="M124" s="144"/>
      <c r="N124" s="141">
        <f>IFERROR(VLOOKUP(L124,'EBM00255'!B:F,3,FALSE),)</f>
        <v>1</v>
      </c>
      <c r="O124" s="144"/>
      <c r="P124" s="371">
        <f>IFERROR(VLOOKUP(L124,'EBM00255'!$B:$F,4,),)</f>
        <v>0</v>
      </c>
      <c r="R124" s="134"/>
      <c r="S124" s="7"/>
      <c r="U124" s="84">
        <f t="shared" si="3"/>
        <v>0</v>
      </c>
      <c r="V124" s="84"/>
      <c r="W124" s="82"/>
      <c r="X124" s="136"/>
    </row>
    <row r="125" spans="2:24" s="131" customFormat="1" x14ac:dyDescent="0.25">
      <c r="C125" s="145"/>
      <c r="E125" s="131" t="str">
        <f>IF(E121="---",'EBM00255'!C165,"")</f>
        <v>Formatierung Festplatte (S0 Kill)</v>
      </c>
      <c r="L125" s="188" t="str">
        <f>IFERROR(IF(INDEX('EBM00255'!B:B,MATCH(E125,'EBM00255'!C:C,0))=0,"",INDEX('EBM00255'!B:B,MATCH(E125,'EBM00255'!C:C,0))),"")</f>
        <v>8120002M</v>
      </c>
      <c r="M125" s="144"/>
      <c r="N125" s="141">
        <f>IFERROR(VLOOKUP(L125,'EBM00255'!B:F,3,FALSE),)</f>
        <v>1</v>
      </c>
      <c r="O125" s="144"/>
      <c r="P125" s="371"/>
      <c r="R125" s="134"/>
      <c r="S125" s="7"/>
      <c r="U125" s="84">
        <f t="shared" si="3"/>
        <v>0</v>
      </c>
      <c r="V125" s="84"/>
      <c r="W125" s="82"/>
      <c r="X125" s="136"/>
    </row>
    <row r="126" spans="2:24" s="131" customFormat="1" ht="4.5" customHeight="1" x14ac:dyDescent="0.25">
      <c r="C126" s="145"/>
      <c r="E126" s="145"/>
      <c r="F126" s="145"/>
      <c r="G126" s="145"/>
      <c r="H126" s="145"/>
      <c r="I126" s="145"/>
      <c r="L126" s="155"/>
      <c r="M126" s="147"/>
      <c r="N126" s="155"/>
      <c r="O126" s="144"/>
      <c r="P126" s="371"/>
      <c r="R126" s="134"/>
      <c r="S126" s="7"/>
      <c r="U126" s="84">
        <f t="shared" si="3"/>
        <v>0</v>
      </c>
      <c r="V126" s="84"/>
      <c r="W126" s="82"/>
      <c r="X126" s="136"/>
    </row>
    <row r="127" spans="2:24" x14ac:dyDescent="0.25">
      <c r="B127" s="135" t="s">
        <v>539</v>
      </c>
      <c r="C127" s="133"/>
      <c r="U127" s="84">
        <f t="shared" si="3"/>
        <v>0</v>
      </c>
      <c r="V127" s="84"/>
      <c r="W127" s="81"/>
    </row>
    <row r="128" spans="2:24" x14ac:dyDescent="0.25">
      <c r="B128" s="153" t="s">
        <v>540</v>
      </c>
      <c r="C128" s="133"/>
      <c r="U128" s="84">
        <f t="shared" si="3"/>
        <v>0</v>
      </c>
      <c r="V128" s="84"/>
      <c r="W128" s="81"/>
    </row>
    <row r="129" spans="1:23" x14ac:dyDescent="0.25">
      <c r="C129" s="133"/>
      <c r="E129" s="142" t="str">
        <f>VLOOKUP(L129,'EBM00255'!B:C,2,FALSE)</f>
        <v>Herstellanweisung AESCU.certus³</v>
      </c>
      <c r="F129" s="142"/>
      <c r="G129" s="142"/>
      <c r="H129" s="142"/>
      <c r="I129" s="142"/>
      <c r="J129" s="142"/>
      <c r="K129" s="142"/>
      <c r="L129" s="117" t="str">
        <f>'EBM00255'!B48</f>
        <v>PMI00192_B</v>
      </c>
      <c r="N129" s="141">
        <f>VLOOKUP(L129,'EBM00255'!B:F,3,FALSE)</f>
        <v>1</v>
      </c>
      <c r="P129" s="373"/>
      <c r="Q129" s="130"/>
      <c r="R129" s="130"/>
      <c r="S129" s="130"/>
      <c r="U129" s="84">
        <f t="shared" si="3"/>
        <v>0</v>
      </c>
      <c r="V129" s="84"/>
      <c r="W129" s="81"/>
    </row>
    <row r="130" spans="1:23" x14ac:dyDescent="0.25">
      <c r="C130" s="133"/>
      <c r="E130" s="142" t="str">
        <f>VLOOKUP(L130,'EBM00255'!B:C,2,FALSE)</f>
        <v>Prüfanweisung AESCU.certus³</v>
      </c>
      <c r="F130" s="142"/>
      <c r="G130" s="142"/>
      <c r="H130" s="142"/>
      <c r="I130" s="142"/>
      <c r="J130" s="142"/>
      <c r="K130" s="142"/>
      <c r="L130" s="117" t="str">
        <f>'EBM00255'!B49</f>
        <v>PTI00210_B</v>
      </c>
      <c r="N130" s="141">
        <f>VLOOKUP(L130,'EBM00255'!B:F,3,FALSE)</f>
        <v>1</v>
      </c>
      <c r="P130" s="373"/>
      <c r="Q130" s="130"/>
      <c r="R130" s="130"/>
      <c r="S130" s="130"/>
      <c r="U130" s="84">
        <f t="shared" si="3"/>
        <v>0</v>
      </c>
      <c r="V130" s="84"/>
      <c r="W130" s="81"/>
    </row>
    <row r="131" spans="1:23" x14ac:dyDescent="0.25">
      <c r="C131" s="133"/>
      <c r="E131" s="142" t="str">
        <f>VLOOKUP(L131,'EBM00255'!B:C,2,FALSE)</f>
        <v>Verpackungsanweisung AESCU.certus³</v>
      </c>
      <c r="F131" s="142"/>
      <c r="G131" s="142"/>
      <c r="H131" s="142"/>
      <c r="I131" s="142"/>
      <c r="J131" s="142"/>
      <c r="K131" s="142"/>
      <c r="L131" s="117" t="str">
        <f>'EBM00255'!B50</f>
        <v>PPI00206_C</v>
      </c>
      <c r="N131" s="141">
        <f>VLOOKUP(L131,'EBM00255'!B:F,3,FALSE)</f>
        <v>1</v>
      </c>
      <c r="P131" s="373"/>
      <c r="Q131" s="130"/>
      <c r="R131" s="130"/>
      <c r="S131" s="130"/>
      <c r="U131" s="84">
        <f t="shared" si="3"/>
        <v>0</v>
      </c>
      <c r="V131" s="84"/>
      <c r="W131" s="81"/>
    </row>
    <row r="132" spans="1:23" x14ac:dyDescent="0.25">
      <c r="C132" s="133"/>
      <c r="E132" s="142" t="str">
        <f>VLOOKUP(L132,'EBM00255'!B:C,2,FALSE)</f>
        <v>DHR MCD AESCU.certus³</v>
      </c>
      <c r="F132" s="142"/>
      <c r="G132" s="142"/>
      <c r="H132" s="142"/>
      <c r="I132" s="142"/>
      <c r="J132" s="142"/>
      <c r="K132" s="142"/>
      <c r="L132" s="117" t="str">
        <f>'EBM00255'!B51</f>
        <v>PTR00303_A</v>
      </c>
      <c r="N132" s="141">
        <f>VLOOKUP(L132,'EBM00255'!B:F,3,FALSE)</f>
        <v>1</v>
      </c>
      <c r="P132" s="373"/>
      <c r="Q132" s="130"/>
      <c r="R132" s="130"/>
      <c r="S132" s="130"/>
      <c r="U132" s="84">
        <f t="shared" si="3"/>
        <v>0</v>
      </c>
      <c r="V132" s="84"/>
      <c r="W132" s="81"/>
    </row>
    <row r="133" spans="1:23" x14ac:dyDescent="0.25">
      <c r="C133" s="133"/>
      <c r="E133" s="142" t="str">
        <f>VLOOKUP(L133,'EBM00255'!B:C,2,FALSE)</f>
        <v>Ratinglabel MCD AESCU.certus³</v>
      </c>
      <c r="F133" s="142"/>
      <c r="G133" s="142"/>
      <c r="H133" s="142"/>
      <c r="I133" s="142"/>
      <c r="J133" s="142"/>
      <c r="K133" s="142"/>
      <c r="L133" s="117" t="str">
        <f>'EBM00255'!B52</f>
        <v>BB18-0001_B</v>
      </c>
      <c r="N133" s="141">
        <f>VLOOKUP(L133,'EBM00255'!B:F,3,FALSE)</f>
        <v>1</v>
      </c>
      <c r="P133" s="373"/>
      <c r="Q133" s="130"/>
      <c r="R133" s="130"/>
      <c r="S133" s="130"/>
      <c r="U133" s="84">
        <f t="shared" si="3"/>
        <v>0</v>
      </c>
      <c r="V133" s="84"/>
      <c r="W133" s="81"/>
    </row>
    <row r="134" spans="1:23" x14ac:dyDescent="0.25">
      <c r="C134" s="133"/>
      <c r="E134" s="142" t="str">
        <f>VLOOKUP(L134,'EBM00255'!B:C,2,FALSE)</f>
        <v>AESCU.certus³ MCD Betriebs- und Lagerbedingungen</v>
      </c>
      <c r="F134" s="142"/>
      <c r="G134" s="142"/>
      <c r="H134" s="142"/>
      <c r="I134" s="142"/>
      <c r="J134" s="142"/>
      <c r="K134" s="142"/>
      <c r="L134" s="117" t="str">
        <f>'EBM00255'!B53</f>
        <v>BB18-0007_A</v>
      </c>
      <c r="N134" s="141">
        <f>VLOOKUP(L134,'EBM00255'!B:F,3,FALSE)</f>
        <v>1</v>
      </c>
      <c r="P134" s="373"/>
      <c r="Q134" s="130"/>
      <c r="R134" s="130"/>
      <c r="S134" s="130"/>
      <c r="U134" s="84">
        <f t="shared" si="3"/>
        <v>0</v>
      </c>
      <c r="V134" s="84"/>
      <c r="W134" s="81"/>
    </row>
    <row r="135" spans="1:23" ht="5.25" customHeight="1" x14ac:dyDescent="0.25">
      <c r="C135" s="133"/>
      <c r="E135" s="142"/>
      <c r="F135" s="142"/>
      <c r="G135" s="142"/>
      <c r="H135" s="142"/>
      <c r="I135" s="142"/>
      <c r="J135" s="142"/>
      <c r="K135" s="142"/>
      <c r="L135" s="34"/>
      <c r="N135" s="142"/>
      <c r="U135" s="84">
        <f t="shared" si="3"/>
        <v>0</v>
      </c>
      <c r="V135" s="84"/>
      <c r="W135" s="81"/>
    </row>
    <row r="136" spans="1:23" ht="20.25" x14ac:dyDescent="0.25">
      <c r="B136" s="129" t="s">
        <v>541</v>
      </c>
      <c r="C136" s="133"/>
      <c r="P136" s="374"/>
      <c r="Q136" s="130"/>
      <c r="R136" s="130"/>
      <c r="S136" s="130"/>
      <c r="U136" s="84">
        <f t="shared" si="3"/>
        <v>0</v>
      </c>
      <c r="V136" s="84"/>
      <c r="W136" s="81"/>
    </row>
    <row r="137" spans="1:23" ht="1.5" customHeight="1" x14ac:dyDescent="0.25">
      <c r="C137" s="133"/>
      <c r="T137" s="84" t="e">
        <f>SUM(T10:T135)</f>
        <v>#VALUE!</v>
      </c>
      <c r="U137" s="84">
        <f>SUM(U10:U135)</f>
        <v>982.74074074074076</v>
      </c>
      <c r="V137" s="84"/>
      <c r="W137" s="81"/>
    </row>
    <row r="138" spans="1:23" x14ac:dyDescent="0.25">
      <c r="C138" s="132" t="s">
        <v>542</v>
      </c>
      <c r="E138" s="387" t="s">
        <v>79</v>
      </c>
      <c r="F138" s="388"/>
      <c r="G138" s="388"/>
      <c r="H138" s="388"/>
      <c r="I138" s="389"/>
      <c r="J138" s="156"/>
      <c r="K138" s="167"/>
      <c r="L138" s="155">
        <f>IFERROR(IF(INDEX('EBM00255'!B:B,MATCH(E138,'EBM00255'!C:C,0))=0,"",INDEX('EBM00255'!B:B,MATCH(E138,'EBM00255'!C:C,0))),"")</f>
        <v>136</v>
      </c>
      <c r="M138" s="147"/>
      <c r="N138" s="141">
        <f>VLOOKUP(L138,'EBM00255'!B:F,3,FALSE)</f>
        <v>1</v>
      </c>
      <c r="R138" s="130"/>
      <c r="S138" s="50">
        <f>VLOOKUP(L138,'EBM00255'!B:E,4,FALSE)</f>
        <v>0</v>
      </c>
      <c r="T138" s="35"/>
      <c r="U138" s="35">
        <f>U137*S138</f>
        <v>0</v>
      </c>
      <c r="V138" s="125"/>
      <c r="W138" s="81"/>
    </row>
    <row r="139" spans="1:23" ht="5.25" customHeight="1" x14ac:dyDescent="0.25">
      <c r="C139" s="133"/>
    </row>
    <row r="140" spans="1:23" ht="28.5" customHeight="1" x14ac:dyDescent="0.25">
      <c r="A140" s="36"/>
      <c r="B140" s="36"/>
      <c r="C140" s="37"/>
      <c r="D140" s="36"/>
      <c r="E140" s="36"/>
      <c r="F140" s="36"/>
      <c r="G140" s="36"/>
      <c r="H140" s="36"/>
      <c r="I140" s="36"/>
      <c r="J140" s="36"/>
      <c r="K140" s="36"/>
      <c r="L140" s="38"/>
      <c r="M140" s="102"/>
      <c r="O140" s="102"/>
      <c r="P140" s="375" t="s">
        <v>16</v>
      </c>
      <c r="Q140" s="68"/>
      <c r="R140" s="68"/>
      <c r="S140" s="68"/>
      <c r="T140" s="69" t="e">
        <f t="shared" ref="T140:U140" si="4">SUM(T137:T138)</f>
        <v>#VALUE!</v>
      </c>
      <c r="U140" s="122">
        <f t="shared" si="4"/>
        <v>982.74074074074076</v>
      </c>
      <c r="V140" s="69"/>
    </row>
    <row r="141" spans="1:23" ht="3.75" customHeight="1" x14ac:dyDescent="0.25">
      <c r="C141" s="157"/>
      <c r="D141" s="157"/>
      <c r="E141" s="157"/>
      <c r="F141" s="157"/>
      <c r="G141" s="157"/>
      <c r="H141" s="157"/>
      <c r="N141" s="49"/>
      <c r="P141" s="375"/>
      <c r="R141" s="127"/>
      <c r="S141" s="127"/>
    </row>
    <row r="142" spans="1:23" ht="15" customHeight="1" x14ac:dyDescent="0.25">
      <c r="B142" s="390" t="str">
        <f>IF(AND(L66&lt;&gt;'EBM00255'!B95,L66&lt;&gt;'EBM00255'!B96,L121='EBM00255'!B162),"Nicht konfigurierbar! Kombination aus Betriebssystem und Datenspeicher muss angepasst werden! / not possible! Change combination of data storage and OS!","")</f>
        <v/>
      </c>
      <c r="C142" s="390"/>
      <c r="D142" s="390"/>
      <c r="E142" s="390"/>
      <c r="F142" s="390"/>
      <c r="G142" s="390"/>
      <c r="H142" s="390"/>
      <c r="I142" s="390"/>
      <c r="J142" s="390"/>
      <c r="K142" s="390"/>
      <c r="L142" s="390"/>
      <c r="M142" s="390"/>
      <c r="N142" s="390"/>
      <c r="O142" s="390"/>
      <c r="P142" s="390"/>
      <c r="Q142" s="390"/>
      <c r="R142" s="390"/>
      <c r="S142" s="390"/>
      <c r="U142" s="152" t="s">
        <v>545</v>
      </c>
    </row>
    <row r="143" spans="1:23" ht="53.65" customHeight="1" x14ac:dyDescent="0.25">
      <c r="B143" s="390" t="str">
        <f>IF(AND(OR(N102&gt;2,N103&gt;0,N104&gt;0),N86=1),"Nicht konfigurierbar! Kombination aus seriellen Schnittstellen und PCI-Karten muss angepasst werden / not possible! Conflict between RS232 and PCI cards!","")</f>
        <v/>
      </c>
      <c r="C143" s="390"/>
      <c r="D143" s="390"/>
      <c r="E143" s="390"/>
      <c r="F143" s="390"/>
      <c r="G143" s="390"/>
      <c r="H143" s="390"/>
      <c r="I143" s="390"/>
      <c r="J143" s="390"/>
      <c r="K143" s="390"/>
      <c r="L143" s="390"/>
      <c r="M143" s="390"/>
      <c r="N143" s="390"/>
      <c r="O143" s="390"/>
      <c r="P143" s="390"/>
      <c r="Q143" s="390"/>
      <c r="R143" s="390"/>
      <c r="S143" s="390"/>
    </row>
    <row r="144" spans="1:23" x14ac:dyDescent="0.25">
      <c r="B144" s="390" t="str">
        <f>IF(AND(OR(L66='EBM00255'!B95,L66='EBM00255'!B96),L69&lt;&gt;"---"),"Nicht konfigurierbar! Auswahl an Datenspeichern muss angepasst werden! / not possible! Change selecetion of data storage!","")</f>
        <v/>
      </c>
      <c r="C144" s="390"/>
      <c r="D144" s="390"/>
      <c r="E144" s="390"/>
      <c r="F144" s="390"/>
      <c r="G144" s="390"/>
      <c r="H144" s="390"/>
      <c r="I144" s="390"/>
      <c r="J144" s="390"/>
      <c r="K144" s="390"/>
      <c r="L144" s="390"/>
      <c r="M144" s="390"/>
      <c r="N144" s="390"/>
      <c r="O144" s="390"/>
      <c r="P144" s="390"/>
      <c r="Q144" s="390"/>
      <c r="R144" s="390"/>
      <c r="S144" s="390"/>
    </row>
    <row r="145" spans="1:20" x14ac:dyDescent="0.25">
      <c r="B145" s="390" t="str">
        <f>IF(AND(OR(N102&gt;1,N104&gt;0),E92&lt;&gt;"---"),"Nicht konfigurierbar! Wifi oder RS232 abwählen / not possible! Un-select WIFI or RS232!","")</f>
        <v/>
      </c>
      <c r="C145" s="390"/>
      <c r="D145" s="390"/>
      <c r="E145" s="390"/>
      <c r="F145" s="390"/>
      <c r="G145" s="390"/>
      <c r="H145" s="390"/>
      <c r="I145" s="390"/>
      <c r="J145" s="390"/>
      <c r="K145" s="390"/>
      <c r="L145" s="390"/>
      <c r="M145" s="390"/>
      <c r="N145" s="390"/>
      <c r="O145" s="390"/>
      <c r="P145" s="390"/>
      <c r="Q145" s="390"/>
      <c r="R145" s="390"/>
      <c r="S145" s="390"/>
    </row>
    <row r="146" spans="1:20" x14ac:dyDescent="0.25">
      <c r="B146" s="390" t="str">
        <f>IF(AND(OR(L66='EBM00255'!B93,L66='EBM00255'!B94),AC³!L67&lt;&gt;'EBM00255'!B100),"Nicht konfigurierbar! HDD passt nicht in Wechselrahmen / not possible! Change position of HDD","")</f>
        <v/>
      </c>
      <c r="C146" s="390"/>
      <c r="D146" s="390"/>
      <c r="E146" s="390"/>
      <c r="F146" s="390"/>
      <c r="G146" s="390"/>
      <c r="H146" s="390"/>
      <c r="I146" s="390"/>
      <c r="J146" s="390"/>
      <c r="K146" s="390"/>
      <c r="L146" s="390"/>
      <c r="M146" s="390"/>
      <c r="N146" s="390"/>
      <c r="O146" s="390"/>
      <c r="P146" s="390"/>
      <c r="Q146" s="390"/>
      <c r="R146" s="390"/>
      <c r="S146" s="390"/>
    </row>
    <row r="147" spans="1:20" x14ac:dyDescent="0.25">
      <c r="B147" s="391" t="str">
        <f>IF(SUM(R66:R72)&gt;1,"Betriebssystem kann nur auf einem Datenräger installiert werden / OS can only be installed on one drive!","")</f>
        <v/>
      </c>
      <c r="C147" s="391"/>
      <c r="D147" s="391"/>
      <c r="E147" s="391"/>
      <c r="F147" s="391"/>
      <c r="G147" s="391"/>
      <c r="H147" s="391"/>
      <c r="I147" s="391"/>
      <c r="J147" s="391"/>
      <c r="K147" s="391"/>
      <c r="L147" s="391"/>
      <c r="M147" s="391"/>
      <c r="N147" s="391"/>
      <c r="O147" s="391"/>
      <c r="P147" s="391"/>
      <c r="Q147" s="391"/>
      <c r="R147" s="391"/>
      <c r="S147" s="391"/>
    </row>
    <row r="148" spans="1:20" x14ac:dyDescent="0.25">
      <c r="B148" s="391" t="str">
        <f>IF(AND(OR(L66='EBM00255'!B95,L66='EBM00255'!B96),L121='EBM00255'!B163),"Konfiguration nicht möglich! Kombination aus Datenträger und OS ändern! / Not possible! Change combination of data storage and OS!","")</f>
        <v/>
      </c>
      <c r="C148" s="391"/>
      <c r="D148" s="391"/>
      <c r="E148" s="391"/>
      <c r="F148" s="391"/>
      <c r="G148" s="391"/>
      <c r="H148" s="391"/>
      <c r="I148" s="391"/>
      <c r="J148" s="391"/>
      <c r="K148" s="391"/>
      <c r="L148" s="391"/>
      <c r="M148" s="391"/>
      <c r="N148" s="391"/>
      <c r="O148" s="391"/>
      <c r="P148" s="391"/>
      <c r="Q148" s="391"/>
      <c r="R148" s="391"/>
      <c r="S148" s="391"/>
    </row>
    <row r="149" spans="1:20" x14ac:dyDescent="0.25">
      <c r="B149" s="390" t="str">
        <f>IF(OR(E67=E70,E67=E73,E70=E73),"Nicht konfigurierbar! Doppelte Position bei Datenträgern! / not possible! Redundant data storage position","")</f>
        <v/>
      </c>
      <c r="C149" s="390"/>
      <c r="D149" s="390"/>
      <c r="E149" s="390"/>
      <c r="F149" s="390"/>
      <c r="G149" s="390"/>
      <c r="H149" s="390"/>
      <c r="I149" s="390"/>
      <c r="J149" s="390"/>
      <c r="K149" s="390"/>
      <c r="L149" s="390"/>
      <c r="M149" s="390"/>
      <c r="N149" s="390"/>
      <c r="O149" s="390"/>
      <c r="P149" s="390"/>
      <c r="Q149" s="390"/>
      <c r="R149" s="390"/>
      <c r="S149" s="390"/>
    </row>
    <row r="150" spans="1:20" x14ac:dyDescent="0.25">
      <c r="B150" s="390" t="str">
        <f>IF(OR(M72="---9990545",M69="---9990545",M66="---9990545"),"kein Datenträger für Betriebssystem ausgewählt! / no storage device chosen for operating system","")</f>
        <v/>
      </c>
      <c r="C150" s="390"/>
      <c r="D150" s="390"/>
      <c r="E150" s="390"/>
      <c r="F150" s="390"/>
      <c r="G150" s="390"/>
      <c r="H150" s="390"/>
      <c r="I150" s="390"/>
      <c r="J150" s="390"/>
      <c r="K150" s="390"/>
      <c r="L150" s="390"/>
      <c r="M150" s="390"/>
      <c r="N150" s="390"/>
      <c r="O150" s="390"/>
      <c r="P150" s="390"/>
      <c r="Q150" s="390"/>
      <c r="R150" s="390"/>
      <c r="S150" s="390"/>
    </row>
    <row r="151" spans="1:20" x14ac:dyDescent="0.25">
      <c r="B151" s="391" t="str">
        <f>IF(AND(L121&lt;&gt;"---",SUM(N65,N68,N71)&gt;1),"Nur einen Datenträger für Betriebssystem-Installation auswählen / Choose only one drive for operating system installation!","")</f>
        <v/>
      </c>
      <c r="C151" s="391"/>
      <c r="D151" s="391"/>
      <c r="E151" s="391"/>
      <c r="F151" s="391"/>
      <c r="G151" s="391"/>
      <c r="H151" s="391"/>
      <c r="I151" s="391"/>
      <c r="J151" s="391"/>
      <c r="K151" s="391"/>
      <c r="L151" s="391"/>
      <c r="M151" s="391"/>
      <c r="N151" s="391"/>
      <c r="O151" s="391"/>
      <c r="P151" s="391"/>
      <c r="Q151" s="391"/>
      <c r="R151" s="391"/>
      <c r="S151" s="391"/>
    </row>
    <row r="152" spans="1:20" x14ac:dyDescent="0.25">
      <c r="B152" s="390" t="str">
        <f>IF(ISNA(N106),"Nicht konfigurierbar!Kombination aus seriellen Schnittstellen muss angepasst werden! / not possible! Change RS232 configuration","")</f>
        <v/>
      </c>
      <c r="C152" s="390"/>
      <c r="D152" s="390"/>
      <c r="E152" s="390"/>
      <c r="F152" s="390"/>
      <c r="G152" s="390"/>
      <c r="H152" s="390"/>
      <c r="I152" s="390"/>
      <c r="J152" s="390"/>
      <c r="K152" s="390"/>
      <c r="L152" s="390"/>
      <c r="M152" s="390"/>
      <c r="N152" s="390"/>
      <c r="O152" s="390"/>
      <c r="P152" s="390"/>
      <c r="Q152" s="390"/>
      <c r="R152" s="390"/>
      <c r="S152" s="390"/>
    </row>
    <row r="153" spans="1:20" x14ac:dyDescent="0.25">
      <c r="B153" s="390" t="str">
        <f>IF(AND(OR(L121=9990415,L121=9990544,L121="4100016M"),J66="0",J69="0",J72="0"),"Datenträger für Betriebssstem-Installation auswählen / Choose drive for OS installation !","")</f>
        <v/>
      </c>
      <c r="C153" s="390"/>
      <c r="D153" s="390"/>
      <c r="E153" s="390"/>
      <c r="F153" s="390"/>
      <c r="G153" s="390"/>
      <c r="H153" s="390"/>
      <c r="I153" s="390"/>
      <c r="J153" s="390"/>
      <c r="K153" s="390"/>
      <c r="L153" s="390"/>
      <c r="M153" s="390"/>
      <c r="N153" s="390"/>
      <c r="O153" s="390"/>
      <c r="P153" s="390"/>
      <c r="Q153" s="390"/>
      <c r="R153" s="390"/>
      <c r="S153" s="390"/>
    </row>
    <row r="154" spans="1:20" x14ac:dyDescent="0.25">
      <c r="B154" s="386" t="str">
        <f>IF(MAX(Sonstiges!B8:B23)&gt;0,"Achtung! Freie Kalkulation erstellt","")</f>
        <v/>
      </c>
      <c r="C154" s="386"/>
      <c r="D154" s="386"/>
      <c r="E154" s="386"/>
      <c r="F154" s="386"/>
      <c r="G154" s="386"/>
      <c r="H154" s="386"/>
      <c r="I154" s="386"/>
      <c r="J154" s="386"/>
      <c r="K154" s="386"/>
      <c r="L154" s="386"/>
      <c r="M154" s="386"/>
      <c r="N154" s="386"/>
      <c r="O154" s="386"/>
      <c r="P154" s="386"/>
      <c r="Q154" s="386"/>
      <c r="R154" s="386"/>
      <c r="S154" s="386"/>
    </row>
    <row r="155" spans="1:20" ht="35.1" customHeight="1" x14ac:dyDescent="0.25">
      <c r="B155" s="382" t="s">
        <v>19</v>
      </c>
      <c r="C155" s="382"/>
      <c r="D155" s="383" t="s">
        <v>21</v>
      </c>
      <c r="E155" s="383"/>
      <c r="F155" s="383"/>
      <c r="G155" s="383"/>
      <c r="H155" s="384" t="s">
        <v>22</v>
      </c>
      <c r="I155" s="384"/>
      <c r="J155" s="384"/>
      <c r="K155" s="384"/>
      <c r="L155" s="384"/>
      <c r="M155" s="384"/>
      <c r="N155" s="384"/>
      <c r="O155" s="384"/>
      <c r="P155" s="384" t="s">
        <v>23</v>
      </c>
      <c r="Q155" s="384"/>
      <c r="R155" s="384"/>
      <c r="S155" s="384"/>
    </row>
    <row r="156" spans="1:20" ht="35.1" customHeight="1" x14ac:dyDescent="0.25">
      <c r="B156" s="378" t="s">
        <v>20</v>
      </c>
      <c r="C156" s="378"/>
      <c r="D156" s="385"/>
      <c r="E156" s="385"/>
      <c r="F156" s="385"/>
      <c r="G156" s="385"/>
      <c r="H156" s="380"/>
      <c r="I156" s="380"/>
      <c r="J156" s="380"/>
      <c r="K156" s="380"/>
      <c r="L156" s="380"/>
      <c r="M156" s="380"/>
      <c r="N156" s="380"/>
      <c r="O156" s="380"/>
      <c r="P156" s="381"/>
      <c r="Q156" s="381"/>
      <c r="R156" s="381"/>
      <c r="S156" s="381"/>
    </row>
    <row r="157" spans="1:20" ht="35.1" customHeight="1" x14ac:dyDescent="0.25">
      <c r="B157" s="378" t="s">
        <v>34</v>
      </c>
      <c r="C157" s="378"/>
      <c r="D157" s="379" t="str">
        <f>IF(OR(B142&lt;&gt;"",B143&lt;&gt;"",B144&lt;&gt;"",B147&lt;&gt;"",B152&lt;&gt;"",B149&lt;&gt;"",B145&lt;&gt;"",B146&lt;&gt;"",B148&lt;&gt;"",B150&lt;&gt;"",B151&lt;&gt;""),"nicht möglich","")</f>
        <v/>
      </c>
      <c r="E157" s="379"/>
      <c r="F157" s="379"/>
      <c r="G157" s="379"/>
      <c r="H157" s="380"/>
      <c r="I157" s="380"/>
      <c r="J157" s="380"/>
      <c r="K157" s="380"/>
      <c r="L157" s="380"/>
      <c r="M157" s="380"/>
      <c r="N157" s="380"/>
      <c r="O157" s="380"/>
      <c r="P157" s="381"/>
      <c r="Q157" s="381"/>
      <c r="R157" s="381"/>
      <c r="S157" s="381"/>
    </row>
    <row r="158" spans="1:20" x14ac:dyDescent="0.25">
      <c r="A158" s="148" t="s">
        <v>701</v>
      </c>
      <c r="B158" s="148" t="s">
        <v>689</v>
      </c>
    </row>
    <row r="159" spans="1:20" ht="55.5" customHeight="1" x14ac:dyDescent="0.25">
      <c r="B159" s="127" t="str">
        <f ca="1">MID(CELL("Dateiname",$A$1),FIND("]",CELL("Dateiname",$A$1))+1,31)</f>
        <v>AC³</v>
      </c>
      <c r="D159" s="131"/>
      <c r="Q159" s="18"/>
      <c r="R159" s="137" t="s">
        <v>523</v>
      </c>
      <c r="S159" s="136"/>
      <c r="T159" s="192"/>
    </row>
    <row r="160" spans="1:20" ht="5.25" customHeight="1" x14ac:dyDescent="0.25"/>
  </sheetData>
  <sheetProtection algorithmName="SHA-512" hashValue="/7bXzWG9TCyhrJ1jKM3giPD7xLI+I3SoNvsPBXB1DBe8wmV6JzFa0LKUbLEX5djmltkDWWJ7kqkwT+OkJeUXpw==" saltValue="yTn57fE9+pzBfC9vHYsubQ==" spinCount="100000" sheet="1" objects="1" scenarios="1" selectLockedCells="1"/>
  <dataConsolidate/>
  <mergeCells count="51">
    <mergeCell ref="B157:C157"/>
    <mergeCell ref="D157:G157"/>
    <mergeCell ref="H157:O157"/>
    <mergeCell ref="P157:S157"/>
    <mergeCell ref="E65:I65"/>
    <mergeCell ref="E68:I68"/>
    <mergeCell ref="E71:I71"/>
    <mergeCell ref="B151:S151"/>
    <mergeCell ref="B150:S150"/>
    <mergeCell ref="B143:S143"/>
    <mergeCell ref="B144:S144"/>
    <mergeCell ref="B147:S147"/>
    <mergeCell ref="B149:S149"/>
    <mergeCell ref="B145:S145"/>
    <mergeCell ref="B146:S146"/>
    <mergeCell ref="B148:S148"/>
    <mergeCell ref="B153:S153"/>
    <mergeCell ref="B156:C156"/>
    <mergeCell ref="D156:G156"/>
    <mergeCell ref="H156:O156"/>
    <mergeCell ref="P156:S156"/>
    <mergeCell ref="B155:C155"/>
    <mergeCell ref="D155:G155"/>
    <mergeCell ref="H155:O155"/>
    <mergeCell ref="P155:S155"/>
    <mergeCell ref="B154:S154"/>
    <mergeCell ref="E67:I67"/>
    <mergeCell ref="E70:I70"/>
    <mergeCell ref="E73:I73"/>
    <mergeCell ref="E72:I72"/>
    <mergeCell ref="B152:S152"/>
    <mergeCell ref="B142:S142"/>
    <mergeCell ref="E92:I92"/>
    <mergeCell ref="E96:I96"/>
    <mergeCell ref="E118:I118"/>
    <mergeCell ref="E121:I121"/>
    <mergeCell ref="E138:I138"/>
    <mergeCell ref="E62:I62"/>
    <mergeCell ref="G2:L2"/>
    <mergeCell ref="B5:S5"/>
    <mergeCell ref="E54:I54"/>
    <mergeCell ref="E56:I56"/>
    <mergeCell ref="E57:I57"/>
    <mergeCell ref="E58:I58"/>
    <mergeCell ref="E59:I59"/>
    <mergeCell ref="E60:I60"/>
    <mergeCell ref="E64:I64"/>
    <mergeCell ref="E66:I66"/>
    <mergeCell ref="E69:I69"/>
    <mergeCell ref="E81:I81"/>
    <mergeCell ref="E86:I86"/>
  </mergeCells>
  <conditionalFormatting sqref="R159 R61:R65 R54:R55 W66:W68 A85:K85 R51 W85 R17:R42 R14:R15 Y85:XFD85 Y66:XFD68 R10 N128:S128 O133:S134 AA69:XFD84 T66:T67 R6 Q67:S67 R100:R105 R122 R95:R96 R124:R125 T10:V10 A66:D74 A75 D75 A76:D84 R87:R89 R120 K67:K68 M66:M85 R91 R117:R118 J70:K71 J73:K84 Q70:S70 T69:T70 O66:O68 U11:V136 Q66 S66 Q69 S69 Q72 O70:O71 O73 O80 O85 Q73:T85 S72:T72 T137:V137">
    <cfRule type="expression" dxfId="770" priority="262">
      <formula>CELL("Schutz",A6)=0</formula>
    </cfRule>
  </conditionalFormatting>
  <conditionalFormatting sqref="N135:S136 O138 Q138:R138 O127:Q127">
    <cfRule type="expression" dxfId="769" priority="261">
      <formula>CELL("Schutz",N127)=0</formula>
    </cfRule>
  </conditionalFormatting>
  <conditionalFormatting sqref="A51:M51 Q51 O51 S126 T14:T16 Y14:XFD16 G14:I16 L121:L122 X121:X122 X124:X125 G44:I50 W14:W16 O87 M87:M89 M91:O91 L10:L50 L124:L125 S8:V8 T138:V138">
    <cfRule type="expression" dxfId="768" priority="260">
      <formula>CELL("Schutz",A8)=0</formula>
    </cfRule>
  </conditionalFormatting>
  <conditionalFormatting sqref="W10 T17 Y10:XFD10">
    <cfRule type="expression" dxfId="767" priority="259">
      <formula>CELL("Schutz",T10)=0</formula>
    </cfRule>
  </conditionalFormatting>
  <conditionalFormatting sqref="G17:I17">
    <cfRule type="expression" dxfId="766" priority="258">
      <formula>CELL("Schutz",G17)=0</formula>
    </cfRule>
  </conditionalFormatting>
  <conditionalFormatting sqref="G18:I18">
    <cfRule type="expression" dxfId="765" priority="257">
      <formula>CELL("Schutz",G18)=0</formula>
    </cfRule>
  </conditionalFormatting>
  <conditionalFormatting sqref="G19:I42">
    <cfRule type="expression" dxfId="764" priority="256">
      <formula>CELL("Schutz",G19)=0</formula>
    </cfRule>
  </conditionalFormatting>
  <conditionalFormatting sqref="T7:V7 A8:Q8 D7:K7 W7:XFD8">
    <cfRule type="expression" dxfId="763" priority="255">
      <formula>CELL("Schutz",A7)=0</formula>
    </cfRule>
  </conditionalFormatting>
  <conditionalFormatting sqref="R8">
    <cfRule type="expression" dxfId="762" priority="254">
      <formula>CELL("Schutz",R8)=0</formula>
    </cfRule>
  </conditionalFormatting>
  <conditionalFormatting sqref="R7">
    <cfRule type="expression" dxfId="761" priority="252">
      <formula>CELL("Schutz",R7)=0</formula>
    </cfRule>
  </conditionalFormatting>
  <conditionalFormatting sqref="S7 L7:M7 P7:Q7">
    <cfRule type="expression" dxfId="760" priority="253">
      <formula>CELL("Schutz",L7)=0</formula>
    </cfRule>
  </conditionalFormatting>
  <conditionalFormatting sqref="C64:C65">
    <cfRule type="expression" dxfId="759" priority="251">
      <formula>CELL("Schutz",C64)=0</formula>
    </cfRule>
  </conditionalFormatting>
  <conditionalFormatting sqref="T56:T59 Y56:XFD60 W56:W60">
    <cfRule type="expression" dxfId="758" priority="250">
      <formula>CELL("Schutz",T56)=0</formula>
    </cfRule>
  </conditionalFormatting>
  <conditionalFormatting sqref="S56:S59 A56:D60 J56:K59 Q56:Q59">
    <cfRule type="expression" dxfId="757" priority="249">
      <formula>CELL("Schutz",A56)=0</formula>
    </cfRule>
  </conditionalFormatting>
  <conditionalFormatting sqref="R56:R59">
    <cfRule type="expression" dxfId="756" priority="248">
      <formula>CELL("Schutz",R56)=0</formula>
    </cfRule>
  </conditionalFormatting>
  <conditionalFormatting sqref="M54 O54">
    <cfRule type="expression" dxfId="755" priority="247">
      <formula>CELL("Schutz",M54)=0</formula>
    </cfRule>
  </conditionalFormatting>
  <conditionalFormatting sqref="L54">
    <cfRule type="expression" dxfId="754" priority="246">
      <formula>CELL("Schutz",L54)=0</formula>
    </cfRule>
  </conditionalFormatting>
  <conditionalFormatting sqref="M56:M59 O56:O59">
    <cfRule type="expression" dxfId="753" priority="245">
      <formula>CELL("Schutz",M56)=0</formula>
    </cfRule>
  </conditionalFormatting>
  <conditionalFormatting sqref="L56:L59">
    <cfRule type="expression" dxfId="752" priority="244">
      <formula>CELL("Schutz",L56)=0</formula>
    </cfRule>
  </conditionalFormatting>
  <conditionalFormatting sqref="M92:O92">
    <cfRule type="expression" dxfId="751" priority="243">
      <formula>CELL("Schutz",M92)=0</formula>
    </cfRule>
  </conditionalFormatting>
  <conditionalFormatting sqref="M44:M50">
    <cfRule type="expression" dxfId="750" priority="242">
      <formula>CELL("Schutz",M44)=0</formula>
    </cfRule>
  </conditionalFormatting>
  <conditionalFormatting sqref="W53 M52 AA52:XFD52 A52:D52 J52:K52 Y53:XFD53 Q52 S52:T53 O52">
    <cfRule type="expression" dxfId="749" priority="241">
      <formula>CELL("Schutz",A52)=0</formula>
    </cfRule>
  </conditionalFormatting>
  <conditionalFormatting sqref="R52:R53">
    <cfRule type="expression" dxfId="748" priority="240">
      <formula>CELL("Schutz",R52)=0</formula>
    </cfRule>
  </conditionalFormatting>
  <conditionalFormatting sqref="A53:M53 Q53 O53">
    <cfRule type="expression" dxfId="747" priority="239">
      <formula>CELL("Schutz",A53)=0</formula>
    </cfRule>
  </conditionalFormatting>
  <conditionalFormatting sqref="L62">
    <cfRule type="expression" dxfId="746" priority="238">
      <formula>CELL("Schutz",L62)=0</formula>
    </cfRule>
  </conditionalFormatting>
  <conditionalFormatting sqref="Q44:Q50 S44:S50">
    <cfRule type="expression" dxfId="745" priority="237">
      <formula>CELL("Schutz",Q44)=0</formula>
    </cfRule>
  </conditionalFormatting>
  <conditionalFormatting sqref="R44:R50">
    <cfRule type="expression" dxfId="744" priority="236">
      <formula>CELL("Schutz",R44)=0</formula>
    </cfRule>
  </conditionalFormatting>
  <conditionalFormatting sqref="O44:O50">
    <cfRule type="expression" dxfId="743" priority="235">
      <formula>CELL("Schutz",O44)=0</formula>
    </cfRule>
  </conditionalFormatting>
  <conditionalFormatting sqref="M126">
    <cfRule type="expression" dxfId="742" priority="232">
      <formula>CELL("Schutz",M126)=0</formula>
    </cfRule>
  </conditionalFormatting>
  <conditionalFormatting sqref="L126">
    <cfRule type="expression" dxfId="741" priority="231">
      <formula>CELL("Schutz",L126)=0</formula>
    </cfRule>
  </conditionalFormatting>
  <conditionalFormatting sqref="B5:S5">
    <cfRule type="expression" dxfId="740" priority="230">
      <formula>CELL("Schutz",B5)=0</formula>
    </cfRule>
  </conditionalFormatting>
  <conditionalFormatting sqref="R85">
    <cfRule type="expression" dxfId="739" priority="263">
      <formula>CELL("Schutz",#REF!)=0</formula>
    </cfRule>
  </conditionalFormatting>
  <conditionalFormatting sqref="S16 M16 Q16 O16">
    <cfRule type="expression" dxfId="738" priority="229">
      <formula>CELL("Schutz",M16)=0</formula>
    </cfRule>
  </conditionalFormatting>
  <conditionalFormatting sqref="R16">
    <cfRule type="expression" dxfId="737" priority="228">
      <formula>CELL("Schutz",R16)=0</formula>
    </cfRule>
  </conditionalFormatting>
  <conditionalFormatting sqref="A121:D121 J121:K121 Y121:XFD121 T121 W121">
    <cfRule type="expression" dxfId="736" priority="225">
      <formula>CELL("Schutz",A121)=0</formula>
    </cfRule>
  </conditionalFormatting>
  <conditionalFormatting sqref="M121">
    <cfRule type="expression" dxfId="735" priority="224">
      <formula>CELL("Schutz",M121)=0</formula>
    </cfRule>
  </conditionalFormatting>
  <conditionalFormatting sqref="N126">
    <cfRule type="expression" dxfId="734" priority="219">
      <formula>CELL("Schutz",N126)=0</formula>
    </cfRule>
  </conditionalFormatting>
  <conditionalFormatting sqref="Q126">
    <cfRule type="expression" dxfId="733" priority="218">
      <formula>CELL("Schutz",Q126)=0</formula>
    </cfRule>
  </conditionalFormatting>
  <conditionalFormatting sqref="R126">
    <cfRule type="expression" dxfId="732" priority="217">
      <formula>CELL("Schutz",R126)=0</formula>
    </cfRule>
  </conditionalFormatting>
  <conditionalFormatting sqref="P126">
    <cfRule type="expression" dxfId="731" priority="216">
      <formula>CELL("Schutz",P126)=0</formula>
    </cfRule>
  </conditionalFormatting>
  <conditionalFormatting sqref="O121">
    <cfRule type="expression" dxfId="730" priority="223">
      <formula>CELL("Schutz",O121)=0</formula>
    </cfRule>
  </conditionalFormatting>
  <conditionalFormatting sqref="S121 Q121">
    <cfRule type="expression" dxfId="729" priority="222">
      <formula>CELL("Schutz",Q121)=0</formula>
    </cfRule>
  </conditionalFormatting>
  <conditionalFormatting sqref="R121">
    <cfRule type="expression" dxfId="728" priority="221">
      <formula>CELL("Schutz",R121)=0</formula>
    </cfRule>
  </conditionalFormatting>
  <conditionalFormatting sqref="O126">
    <cfRule type="expression" dxfId="727" priority="220">
      <formula>CELL("Schutz",O126)=0</formula>
    </cfRule>
  </conditionalFormatting>
  <conditionalFormatting sqref="F82:I84 E74:I80">
    <cfRule type="expression" dxfId="726" priority="215">
      <formula>CELL("Schutz",E74)=0</formula>
    </cfRule>
  </conditionalFormatting>
  <conditionalFormatting sqref="T131:T132 A131:D132 F131:K131 M131:M132 W131:XFD132">
    <cfRule type="expression" dxfId="725" priority="214">
      <formula>CELL("Schutz",A131)=0</formula>
    </cfRule>
  </conditionalFormatting>
  <conditionalFormatting sqref="O131:S132">
    <cfRule type="expression" dxfId="724" priority="213">
      <formula>CELL("Schutz",O131)=0</formula>
    </cfRule>
  </conditionalFormatting>
  <conditionalFormatting sqref="T130 A130:D130 F130:K130 M130 W130:XFD130">
    <cfRule type="expression" dxfId="723" priority="212">
      <formula>CELL("Schutz",A130)=0</formula>
    </cfRule>
  </conditionalFormatting>
  <conditionalFormatting sqref="O130:S130">
    <cfRule type="expression" dxfId="722" priority="211">
      <formula>CELL("Schutz",O130)=0</formula>
    </cfRule>
  </conditionalFormatting>
  <conditionalFormatting sqref="T129 A129:M129 W129:XFD129 L130:L134 E130:E134">
    <cfRule type="expression" dxfId="721" priority="210">
      <formula>CELL("Schutz",A129)=0</formula>
    </cfRule>
  </conditionalFormatting>
  <conditionalFormatting sqref="O129:S129">
    <cfRule type="expression" dxfId="720" priority="209">
      <formula>CELL("Schutz",O129)=0</formula>
    </cfRule>
  </conditionalFormatting>
  <conditionalFormatting sqref="L138">
    <cfRule type="expression" dxfId="719" priority="207">
      <formula>CELL("Schutz",L138)=0</formula>
    </cfRule>
  </conditionalFormatting>
  <conditionalFormatting sqref="N138">
    <cfRule type="expression" dxfId="718" priority="206">
      <formula>CELL("Schutz",N138)=0</formula>
    </cfRule>
  </conditionalFormatting>
  <conditionalFormatting sqref="R127">
    <cfRule type="expression" dxfId="717" priority="204">
      <formula>CELL("Schutz",R127)=0</formula>
    </cfRule>
  </conditionalFormatting>
  <conditionalFormatting sqref="C95">
    <cfRule type="expression" dxfId="716" priority="201">
      <formula>CELL("Schutz",C95)=0</formula>
    </cfRule>
  </conditionalFormatting>
  <conditionalFormatting sqref="N120:N121">
    <cfRule type="expression" dxfId="715" priority="202">
      <formula>CELL("Schutz",N120)=0</formula>
    </cfRule>
  </conditionalFormatting>
  <conditionalFormatting sqref="C96">
    <cfRule type="expression" dxfId="714" priority="200">
      <formula>CELL("Schutz",C96)=0</formula>
    </cfRule>
  </conditionalFormatting>
  <conditionalFormatting sqref="C102">
    <cfRule type="expression" dxfId="713" priority="199">
      <formula>CELL("Schutz",C102)=0</formula>
    </cfRule>
  </conditionalFormatting>
  <conditionalFormatting sqref="P121:S122 N95:N96 P124:S125 N106:N116 Q120:S120">
    <cfRule type="cellIs" dxfId="712" priority="188" operator="equal">
      <formula>0</formula>
    </cfRule>
  </conditionalFormatting>
  <conditionalFormatting sqref="E93:E94 L92 L96 E97:E99">
    <cfRule type="containsText" dxfId="711" priority="176" operator="containsText" text="&quot;---&quot;">
      <formula>NOT(ISERROR(SEARCH("""---""",E92)))</formula>
    </cfRule>
  </conditionalFormatting>
  <conditionalFormatting sqref="N70 N73">
    <cfRule type="cellIs" dxfId="710" priority="174" operator="equal">
      <formula>0</formula>
    </cfRule>
  </conditionalFormatting>
  <conditionalFormatting sqref="N80:N81">
    <cfRule type="cellIs" dxfId="709" priority="170" operator="equal">
      <formula>0</formula>
    </cfRule>
  </conditionalFormatting>
  <conditionalFormatting sqref="N75">
    <cfRule type="cellIs" dxfId="708" priority="169" operator="equal">
      <formula>0</formula>
    </cfRule>
  </conditionalFormatting>
  <conditionalFormatting sqref="L80:L81 P80:P81">
    <cfRule type="expression" dxfId="707" priority="167">
      <formula>$N$79=0</formula>
    </cfRule>
  </conditionalFormatting>
  <conditionalFormatting sqref="E79:E80">
    <cfRule type="expression" dxfId="706" priority="165">
      <formula>$N$79=0</formula>
    </cfRule>
  </conditionalFormatting>
  <conditionalFormatting sqref="E93:E94 L92 P92">
    <cfRule type="expression" dxfId="705" priority="163">
      <formula>$E$92="---"</formula>
    </cfRule>
  </conditionalFormatting>
  <conditionalFormatting sqref="L96 E97:E99">
    <cfRule type="expression" dxfId="704" priority="162">
      <formula>$E$96="---"</formula>
    </cfRule>
  </conditionalFormatting>
  <conditionalFormatting sqref="P87">
    <cfRule type="expression" dxfId="703" priority="161">
      <formula>$E$86="---"</formula>
    </cfRule>
  </conditionalFormatting>
  <conditionalFormatting sqref="T11:T12 Y11:XFD12 S11:S13 A11:D12 Q11:Q13 G11:K12 O11:O13 M11:M12 W11:W12">
    <cfRule type="expression" dxfId="702" priority="227">
      <formula>CELL("Schutz",#REF!)=0</formula>
    </cfRule>
  </conditionalFormatting>
  <conditionalFormatting sqref="R11:R13">
    <cfRule type="expression" dxfId="701" priority="226">
      <formula>CELL("Schutz",#REF!)=0</formula>
    </cfRule>
  </conditionalFormatting>
  <conditionalFormatting sqref="T13 A13:D13 M13 Y13:XFD13 G13:K13 W13">
    <cfRule type="expression" dxfId="700" priority="264">
      <formula>CELL("Schutz",#REF!)=0</formula>
    </cfRule>
  </conditionalFormatting>
  <conditionalFormatting sqref="C118:C119">
    <cfRule type="expression" dxfId="699" priority="159">
      <formula>CELL("Schutz",C118)=0</formula>
    </cfRule>
  </conditionalFormatting>
  <conditionalFormatting sqref="N121">
    <cfRule type="cellIs" dxfId="698" priority="152" operator="equal">
      <formula>0</formula>
    </cfRule>
  </conditionalFormatting>
  <conditionalFormatting sqref="S138">
    <cfRule type="expression" dxfId="697" priority="145">
      <formula>CELL("Schutz",S138)=0</formula>
    </cfRule>
  </conditionalFormatting>
  <conditionalFormatting sqref="J60:K60">
    <cfRule type="expression" dxfId="696" priority="144">
      <formula>CELL("Schutz",J60)=0</formula>
    </cfRule>
  </conditionalFormatting>
  <conditionalFormatting sqref="R60">
    <cfRule type="expression" dxfId="695" priority="140">
      <formula>CELL("Schutz",R60)=0</formula>
    </cfRule>
  </conditionalFormatting>
  <conditionalFormatting sqref="O60 M60">
    <cfRule type="expression" dxfId="694" priority="139">
      <formula>CELL("Schutz",M60)=0</formula>
    </cfRule>
  </conditionalFormatting>
  <conditionalFormatting sqref="L60">
    <cfRule type="expression" dxfId="693" priority="138">
      <formula>CELL("Schutz",L60)=0</formula>
    </cfRule>
  </conditionalFormatting>
  <conditionalFormatting sqref="N60">
    <cfRule type="cellIs" dxfId="692" priority="137" operator="equal">
      <formula>0</formula>
    </cfRule>
  </conditionalFormatting>
  <conditionalFormatting sqref="P60:S60">
    <cfRule type="cellIs" dxfId="691" priority="136" operator="equal">
      <formula>0</formula>
    </cfRule>
  </conditionalFormatting>
  <conditionalFormatting sqref="T60">
    <cfRule type="expression" dxfId="690" priority="143">
      <formula>CELL("Schutz",T60)=0</formula>
    </cfRule>
  </conditionalFormatting>
  <conditionalFormatting sqref="Q60 S60">
    <cfRule type="expression" dxfId="689" priority="141">
      <formula>CELL("Schutz",Q60)=0</formula>
    </cfRule>
  </conditionalFormatting>
  <conditionalFormatting sqref="N137:S137">
    <cfRule type="expression" dxfId="688" priority="130">
      <formula>CELL("Schutz",N137)=0</formula>
    </cfRule>
  </conditionalFormatting>
  <conditionalFormatting sqref="E98">
    <cfRule type="containsText" dxfId="687" priority="132" operator="containsText" text="&quot;---&quot;">
      <formula>NOT(ISERROR(SEARCH("""---""",E98)))</formula>
    </cfRule>
  </conditionalFormatting>
  <conditionalFormatting sqref="R43">
    <cfRule type="expression" dxfId="686" priority="129">
      <formula>CELL("Schutz",R43)=0</formula>
    </cfRule>
  </conditionalFormatting>
  <conditionalFormatting sqref="G43:I43">
    <cfRule type="expression" dxfId="685" priority="128">
      <formula>CELL("Schutz",G43)=0</formula>
    </cfRule>
  </conditionalFormatting>
  <conditionalFormatting sqref="S124:S125 Q124:Q125">
    <cfRule type="expression" dxfId="684" priority="127">
      <formula>CELL("Schutz",Q124)=0</formula>
    </cfRule>
  </conditionalFormatting>
  <conditionalFormatting sqref="R124:R125">
    <cfRule type="expression" dxfId="683" priority="126">
      <formula>CELL("Schutz",R124)=0</formula>
    </cfRule>
  </conditionalFormatting>
  <conditionalFormatting sqref="N124:N125">
    <cfRule type="expression" dxfId="682" priority="123">
      <formula>CELL("Schutz",N124)=0</formula>
    </cfRule>
  </conditionalFormatting>
  <conditionalFormatting sqref="N124:N125">
    <cfRule type="cellIs" dxfId="681" priority="122" operator="equal">
      <formula>0</formula>
    </cfRule>
  </conditionalFormatting>
  <conditionalFormatting sqref="L64">
    <cfRule type="expression" dxfId="680" priority="118">
      <formula>CELL("Schutz",L64)=0</formula>
    </cfRule>
  </conditionalFormatting>
  <conditionalFormatting sqref="P124:P125">
    <cfRule type="expression" dxfId="679" priority="265">
      <formula>#REF!=0</formula>
    </cfRule>
  </conditionalFormatting>
  <conditionalFormatting sqref="L82:L84">
    <cfRule type="expression" dxfId="678" priority="117">
      <formula>$N$75=0</formula>
    </cfRule>
  </conditionalFormatting>
  <conditionalFormatting sqref="N82:N84">
    <cfRule type="cellIs" dxfId="677" priority="116" operator="equal">
      <formula>0</formula>
    </cfRule>
  </conditionalFormatting>
  <conditionalFormatting sqref="P82:P84">
    <cfRule type="cellIs" dxfId="676" priority="115" operator="equal">
      <formula>0</formula>
    </cfRule>
  </conditionalFormatting>
  <conditionalFormatting sqref="N103">
    <cfRule type="expression" dxfId="675" priority="106">
      <formula>CELL("Schutz",N103)=0</formula>
    </cfRule>
  </conditionalFormatting>
  <conditionalFormatting sqref="N103">
    <cfRule type="cellIs" dxfId="674" priority="105" operator="equal">
      <formula>0</formula>
    </cfRule>
  </conditionalFormatting>
  <conditionalFormatting sqref="R123">
    <cfRule type="expression" dxfId="673" priority="103">
      <formula>CELL("Schutz",R123)=0</formula>
    </cfRule>
  </conditionalFormatting>
  <conditionalFormatting sqref="X123 L123">
    <cfRule type="expression" dxfId="672" priority="102">
      <formula>CELL("Schutz",L123)=0</formula>
    </cfRule>
  </conditionalFormatting>
  <conditionalFormatting sqref="P123:S123">
    <cfRule type="cellIs" dxfId="671" priority="101" operator="equal">
      <formula>0</formula>
    </cfRule>
  </conditionalFormatting>
  <conditionalFormatting sqref="E123">
    <cfRule type="cellIs" dxfId="670" priority="100" operator="equal">
      <formula>"#NV"</formula>
    </cfRule>
  </conditionalFormatting>
  <conditionalFormatting sqref="S123 Q123">
    <cfRule type="expression" dxfId="669" priority="99">
      <formula>CELL("Schutz",Q123)=0</formula>
    </cfRule>
  </conditionalFormatting>
  <conditionalFormatting sqref="R123">
    <cfRule type="expression" dxfId="668" priority="98">
      <formula>CELL("Schutz",R123)=0</formula>
    </cfRule>
  </conditionalFormatting>
  <conditionalFormatting sqref="N123">
    <cfRule type="expression" dxfId="667" priority="97">
      <formula>CELL("Schutz",N123)=0</formula>
    </cfRule>
  </conditionalFormatting>
  <conditionalFormatting sqref="N123">
    <cfRule type="cellIs" dxfId="666" priority="96" operator="equal">
      <formula>0</formula>
    </cfRule>
  </conditionalFormatting>
  <conditionalFormatting sqref="P123">
    <cfRule type="expression" dxfId="665" priority="104">
      <formula>#REF!=0</formula>
    </cfRule>
  </conditionalFormatting>
  <conditionalFormatting sqref="N7">
    <cfRule type="expression" dxfId="664" priority="94">
      <formula>CELL("Schutz",N7)=0</formula>
    </cfRule>
  </conditionalFormatting>
  <conditionalFormatting sqref="L66">
    <cfRule type="expression" dxfId="663" priority="92">
      <formula>CELL("Schutz",L66)=0</formula>
    </cfRule>
  </conditionalFormatting>
  <conditionalFormatting sqref="L72">
    <cfRule type="expression" dxfId="662" priority="87">
      <formula>CELL("Schutz",L72)=0</formula>
    </cfRule>
  </conditionalFormatting>
  <conditionalFormatting sqref="L69">
    <cfRule type="expression" dxfId="661" priority="85">
      <formula>CELL("Schutz",L69)=0</formula>
    </cfRule>
  </conditionalFormatting>
  <conditionalFormatting sqref="N69">
    <cfRule type="expression" dxfId="660" priority="84">
      <formula>$E$69="---"</formula>
    </cfRule>
  </conditionalFormatting>
  <conditionalFormatting sqref="N72">
    <cfRule type="expression" dxfId="659" priority="83">
      <formula>$E$72="---"</formula>
    </cfRule>
  </conditionalFormatting>
  <conditionalFormatting sqref="M70:N70">
    <cfRule type="expression" dxfId="658" priority="82">
      <formula>$E$69="---"</formula>
    </cfRule>
  </conditionalFormatting>
  <conditionalFormatting sqref="M73:N73">
    <cfRule type="expression" dxfId="657" priority="81">
      <formula>$E$72="---"</formula>
    </cfRule>
  </conditionalFormatting>
  <conditionalFormatting sqref="B75:C75">
    <cfRule type="expression" dxfId="656" priority="77">
      <formula>CELL("Schutz",B75)=0</formula>
    </cfRule>
  </conditionalFormatting>
  <conditionalFormatting sqref="L79">
    <cfRule type="expression" dxfId="655" priority="76">
      <formula>$N$75=0</formula>
    </cfRule>
  </conditionalFormatting>
  <conditionalFormatting sqref="P79">
    <cfRule type="expression" dxfId="654" priority="75">
      <formula>$N$75=0</formula>
    </cfRule>
  </conditionalFormatting>
  <conditionalFormatting sqref="L86:S86">
    <cfRule type="expression" dxfId="653" priority="73">
      <formula>$E$86="---"</formula>
    </cfRule>
  </conditionalFormatting>
  <conditionalFormatting sqref="L88:L89">
    <cfRule type="expression" dxfId="652" priority="72">
      <formula>$E$86="---"</formula>
    </cfRule>
  </conditionalFormatting>
  <conditionalFormatting sqref="N88:N89">
    <cfRule type="expression" dxfId="651" priority="71">
      <formula>$E$86="---"</formula>
    </cfRule>
  </conditionalFormatting>
  <conditionalFormatting sqref="P88:P89">
    <cfRule type="expression" dxfId="650" priority="70">
      <formula>$E$86="---"</formula>
    </cfRule>
  </conditionalFormatting>
  <conditionalFormatting sqref="L93:N93 P93:S93">
    <cfRule type="expression" dxfId="649" priority="63">
      <formula>$E$92="---"</formula>
    </cfRule>
  </conditionalFormatting>
  <conditionalFormatting sqref="L94:N94 P94:S94">
    <cfRule type="expression" dxfId="648" priority="62">
      <formula>$E$92="---"</formula>
    </cfRule>
  </conditionalFormatting>
  <conditionalFormatting sqref="L97:N99 P97:S99">
    <cfRule type="expression" dxfId="647" priority="55">
      <formula>$E$96="---"</formula>
    </cfRule>
  </conditionalFormatting>
  <conditionalFormatting sqref="L119:S119">
    <cfRule type="expression" dxfId="646" priority="54">
      <formula>$E$117="Nein"</formula>
    </cfRule>
  </conditionalFormatting>
  <conditionalFormatting sqref="N119:S119">
    <cfRule type="expression" dxfId="645" priority="53">
      <formula>$E$118="Nein"</formula>
    </cfRule>
  </conditionalFormatting>
  <conditionalFormatting sqref="L76:L77">
    <cfRule type="expression" dxfId="644" priority="52">
      <formula>CELL("Schutz",L76)=0</formula>
    </cfRule>
  </conditionalFormatting>
  <conditionalFormatting sqref="N76:N77">
    <cfRule type="cellIs" dxfId="643" priority="51" operator="equal">
      <formula>0</formula>
    </cfRule>
  </conditionalFormatting>
  <conditionalFormatting sqref="P76:P77">
    <cfRule type="cellIs" dxfId="642" priority="50" operator="equal">
      <formula>0</formula>
    </cfRule>
  </conditionalFormatting>
  <conditionalFormatting sqref="N129:N134">
    <cfRule type="expression" dxfId="641" priority="46">
      <formula>CELL("Schutz",N129)=0</formula>
    </cfRule>
  </conditionalFormatting>
  <conditionalFormatting sqref="N129:N134">
    <cfRule type="cellIs" dxfId="640" priority="45" operator="equal">
      <formula>0</formula>
    </cfRule>
  </conditionalFormatting>
  <conditionalFormatting sqref="N13">
    <cfRule type="expression" dxfId="639" priority="41">
      <formula>$N$13&lt;&gt;1</formula>
    </cfRule>
  </conditionalFormatting>
  <conditionalFormatting sqref="N31">
    <cfRule type="expression" dxfId="638" priority="40">
      <formula>$N$31=10</formula>
    </cfRule>
  </conditionalFormatting>
  <conditionalFormatting sqref="E75:L75">
    <cfRule type="expression" dxfId="637" priority="39">
      <formula>$N$75&lt;&gt;4</formula>
    </cfRule>
  </conditionalFormatting>
  <conditionalFormatting sqref="P90:S90 E90:L90">
    <cfRule type="expression" dxfId="636" priority="34">
      <formula>$N$90=0</formula>
    </cfRule>
  </conditionalFormatting>
  <conditionalFormatting sqref="E106:L106 P106:S106">
    <cfRule type="expression" dxfId="635" priority="32">
      <formula>$N$106=0</formula>
    </cfRule>
  </conditionalFormatting>
  <conditionalFormatting sqref="E107:M107 P107:S107">
    <cfRule type="expression" dxfId="634" priority="31">
      <formula>$N$107=0</formula>
    </cfRule>
  </conditionalFormatting>
  <conditionalFormatting sqref="E108:L108 P108:S108">
    <cfRule type="expression" dxfId="633" priority="30">
      <formula>$N$108=0</formula>
    </cfRule>
  </conditionalFormatting>
  <conditionalFormatting sqref="E109:L109 P109:S109">
    <cfRule type="expression" dxfId="632" priority="29">
      <formula>$N$109=0</formula>
    </cfRule>
  </conditionalFormatting>
  <conditionalFormatting sqref="E110:L110 P110:S110">
    <cfRule type="expression" dxfId="631" priority="28">
      <formula>$N$110=0</formula>
    </cfRule>
  </conditionalFormatting>
  <conditionalFormatting sqref="E111:L111 P111:S111">
    <cfRule type="expression" dxfId="630" priority="27">
      <formula>$N$111=0</formula>
    </cfRule>
  </conditionalFormatting>
  <conditionalFormatting sqref="E112:L112 P112:S112">
    <cfRule type="expression" dxfId="629" priority="26">
      <formula>$N$112=0</formula>
    </cfRule>
  </conditionalFormatting>
  <conditionalFormatting sqref="E113:L113 P113:S113">
    <cfRule type="expression" dxfId="628" priority="25">
      <formula>$N$113=0</formula>
    </cfRule>
  </conditionalFormatting>
  <conditionalFormatting sqref="E114:L114 P114:S114">
    <cfRule type="expression" dxfId="627" priority="23">
      <formula>$N$114=0</formula>
    </cfRule>
  </conditionalFormatting>
  <conditionalFormatting sqref="E115:L115 P115:S115">
    <cfRule type="expression" dxfId="626" priority="22">
      <formula>$N$115=0</formula>
    </cfRule>
  </conditionalFormatting>
  <conditionalFormatting sqref="E116:L116 P116:S116">
    <cfRule type="expression" dxfId="625" priority="21">
      <formula>$N$116=0</formula>
    </cfRule>
  </conditionalFormatting>
  <conditionalFormatting sqref="N27">
    <cfRule type="expression" dxfId="624" priority="18">
      <formula>N27&lt;&gt;8</formula>
    </cfRule>
  </conditionalFormatting>
  <conditionalFormatting sqref="L120">
    <cfRule type="expression" dxfId="623" priority="17">
      <formula>CELL("Schutz",L120)=0</formula>
    </cfRule>
  </conditionalFormatting>
  <conditionalFormatting sqref="P120">
    <cfRule type="expression" dxfId="622" priority="16">
      <formula>$E$117="Nein"</formula>
    </cfRule>
  </conditionalFormatting>
  <conditionalFormatting sqref="P120">
    <cfRule type="expression" dxfId="621" priority="15">
      <formula>$E$118="Nein"</formula>
    </cfRule>
  </conditionalFormatting>
  <conditionalFormatting sqref="N120">
    <cfRule type="expression" dxfId="620" priority="12">
      <formula>N120=0</formula>
    </cfRule>
  </conditionalFormatting>
  <conditionalFormatting sqref="R68">
    <cfRule type="expression" dxfId="619" priority="11">
      <formula>CELL("Schutz",R68)=0</formula>
    </cfRule>
  </conditionalFormatting>
  <conditionalFormatting sqref="R71">
    <cfRule type="expression" dxfId="618" priority="10">
      <formula>CELL("Schutz",R71)=0</formula>
    </cfRule>
  </conditionalFormatting>
  <conditionalFormatting sqref="E124:E125">
    <cfRule type="cellIs" dxfId="617" priority="9" operator="equal">
      <formula>"#NV"</formula>
    </cfRule>
  </conditionalFormatting>
  <conditionalFormatting sqref="F123">
    <cfRule type="cellIs" dxfId="616" priority="8" operator="equal">
      <formula>"#NV"</formula>
    </cfRule>
  </conditionalFormatting>
  <conditionalFormatting sqref="F124:F125">
    <cfRule type="cellIs" dxfId="615" priority="7" operator="equal">
      <formula>"#NV"</formula>
    </cfRule>
  </conditionalFormatting>
  <conditionalFormatting sqref="J66:J67 J69">
    <cfRule type="expression" dxfId="614" priority="3">
      <formula>CELL("Schutz",J66)=0</formula>
    </cfRule>
  </conditionalFormatting>
  <conditionalFormatting sqref="J72">
    <cfRule type="expression" dxfId="613" priority="2">
      <formula>CELL("Schutz",J72)=0</formula>
    </cfRule>
  </conditionalFormatting>
  <conditionalFormatting sqref="O7">
    <cfRule type="expression" dxfId="612" priority="1">
      <formula>CELL("Schutz",O7)=0</formula>
    </cfRule>
  </conditionalFormatting>
  <dataValidations count="5">
    <dataValidation type="list" allowBlank="1" showInputMessage="1" showErrorMessage="1" sqref="N103">
      <formula1>$A$102</formula1>
    </dataValidation>
    <dataValidation allowBlank="1" showInputMessage="1" showErrorMessage="1" sqref="N106:N118 N122 N8:N9"/>
    <dataValidation type="list" allowBlank="1" showInputMessage="1" showErrorMessage="1" sqref="N64">
      <formula1>$J$64:$J$65</formula1>
    </dataValidation>
    <dataValidation type="list" allowBlank="1" showInputMessage="1" showErrorMessage="1" sqref="N102 N104">
      <formula1>$A$102:$A$106</formula1>
    </dataValidation>
    <dataValidation type="list" allowBlank="1" showInputMessage="1" showErrorMessage="1" sqref="E74 F74:I80 F82:I84">
      <formula1>#REF!</formula1>
    </dataValidation>
  </dataValidations>
  <hyperlinks>
    <hyperlink ref="B2" location="Übersicht!A1" display="Home"/>
  </hyperlinks>
  <pageMargins left="0.11811023622047245" right="0.11811023622047245" top="0.74803149606299213" bottom="0.19685039370078741" header="0.31496062992125984" footer="0.31496062992125984"/>
  <pageSetup paperSize="9" scale="46" fitToHeight="0" orientation="portrait" r:id="rId1"/>
  <headerFooter>
    <oddHeader>&amp;C&amp;14&amp;F</oddHeader>
  </headerFooter>
  <rowBreaks count="1" manualBreakCount="1">
    <brk id="126" max="20" man="1"/>
  </rowBreaks>
  <ignoredErrors>
    <ignoredError sqref="L65" formula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id="{9CD56FE2-B80B-48F4-A1C7-36E4B509B546}">
            <xm:f>CELL("Schutz",TL³!R9)=0</xm:f>
            <x14:dxf>
              <font>
                <color auto="1"/>
              </font>
              <fill>
                <patternFill>
                  <bgColor theme="0" tint="-4.9989318521683403E-2"/>
                </patternFill>
              </fill>
            </x14:dxf>
          </x14:cfRule>
          <xm:sqref>R9</xm:sqref>
        </x14:conditionalFormatting>
        <x14:conditionalFormatting xmlns:xm="http://schemas.microsoft.com/office/excel/2006/main">
          <x14:cfRule type="expression" priority="5" id="{B97BB538-6525-434E-8DC9-F1C3204C05E2}">
            <xm:f>CELL("Schutz",TL³!A9)=0</xm:f>
            <x14:dxf>
              <fill>
                <patternFill>
                  <bgColor theme="0" tint="-4.9989318521683403E-2"/>
                </patternFill>
              </fill>
            </x14:dxf>
          </x14:cfRule>
          <xm:sqref>A9:O9 S9:V9 Q9</xm:sqref>
        </x14:conditionalFormatting>
        <x14:conditionalFormatting xmlns:xm="http://schemas.microsoft.com/office/excel/2006/main">
          <x14:cfRule type="expression" priority="984" id="{B97BB538-6525-434E-8DC9-F1C3204C05E2}">
            <xm:f>CELL("Schutz",TL³!U9)=0</xm:f>
            <x14:dxf>
              <fill>
                <patternFill>
                  <bgColor theme="0" tint="-4.9989318521683403E-2"/>
                </patternFill>
              </fill>
            </x14:dxf>
          </x14:cfRule>
          <xm:sqref>W9:XFD9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>
          <x14:formula1>
            <xm:f>'EBM00255'!$C$101:$C$102</xm:f>
          </x14:formula1>
          <xm:sqref>E73:I73 E70:I70</xm:sqref>
        </x14:dataValidation>
        <x14:dataValidation type="list" allowBlank="1" showInputMessage="1" showErrorMessage="1">
          <x14:formula1>
            <xm:f>'EBM00255'!$C$88:$C$92</xm:f>
          </x14:formula1>
          <xm:sqref>E69:I69 E72:I72</xm:sqref>
        </x14:dataValidation>
        <x14:dataValidation type="list" allowBlank="1" showInputMessage="1" showErrorMessage="1">
          <x14:formula1>
            <xm:f>'EBM00255'!$A$114:$A$115</xm:f>
          </x14:formula1>
          <xm:sqref>E81:I81</xm:sqref>
        </x14:dataValidation>
        <x14:dataValidation type="list" allowBlank="1" showInputMessage="1" showErrorMessage="1">
          <x14:formula1>
            <xm:f>'EBM00255'!$C$84:$C$85</xm:f>
          </x14:formula1>
          <xm:sqref>E64:I64</xm:sqref>
        </x14:dataValidation>
        <x14:dataValidation type="list" allowBlank="1" showInputMessage="1" showErrorMessage="1">
          <x14:formula1>
            <xm:f>'EBM00255'!$C$58:$C$59</xm:f>
          </x14:formula1>
          <xm:sqref>E54:I54</xm:sqref>
        </x14:dataValidation>
        <x14:dataValidation type="list" allowBlank="1" showInputMessage="1" showErrorMessage="1">
          <x14:formula1>
            <xm:f>'EBM00255'!$C$172:$C$180</xm:f>
          </x14:formula1>
          <xm:sqref>E138:I138</xm:sqref>
        </x14:dataValidation>
        <x14:dataValidation type="list" allowBlank="1" showInputMessage="1" showErrorMessage="1">
          <x14:formula1>
            <xm:f>'EBM00255'!$C$120:$C$121</xm:f>
          </x14:formula1>
          <xm:sqref>E92:I92</xm:sqref>
        </x14:dataValidation>
        <x14:dataValidation type="list" allowBlank="1" showInputMessage="1" showErrorMessage="1">
          <x14:formula1>
            <xm:f>'EBM00255'!$C$131:$C$133</xm:f>
          </x14:formula1>
          <xm:sqref>E96:I96</xm:sqref>
        </x14:dataValidation>
        <x14:dataValidation type="list" allowBlank="1" showInputMessage="1" showErrorMessage="1">
          <x14:formula1>
            <xm:f>'EBM00255'!$C$125:$C$126</xm:f>
          </x14:formula1>
          <xm:sqref>E86:I86</xm:sqref>
        </x14:dataValidation>
        <x14:dataValidation type="list" allowBlank="1" showInputMessage="1" showErrorMessage="1">
          <x14:formula1>
            <xm:f>'EBM00255'!$C$89:$C$96</xm:f>
          </x14:formula1>
          <xm:sqref>E66:I66</xm:sqref>
        </x14:dataValidation>
        <x14:dataValidation type="list" allowBlank="1" showInputMessage="1" showErrorMessage="1">
          <x14:formula1>
            <xm:f>'EBM00255'!$A$110:$A$111</xm:f>
          </x14:formula1>
          <xm:sqref>E118:I118 K66 K69 K72</xm:sqref>
        </x14:dataValidation>
        <x14:dataValidation type="list" allowBlank="1" showInputMessage="1" showErrorMessage="1">
          <x14:formula1>
            <xm:f>'EBM00255'!$C$75:$C$82</xm:f>
          </x14:formula1>
          <xm:sqref>E62:I62</xm:sqref>
        </x14:dataValidation>
        <x14:dataValidation type="list" allowBlank="1" showInputMessage="1" showErrorMessage="1">
          <x14:formula1>
            <xm:f>'EBM00255'!$C$100:$C$102</xm:f>
          </x14:formula1>
          <xm:sqref>E67:I67</xm:sqref>
        </x14:dataValidation>
        <x14:dataValidation type="list" allowBlank="1" showInputMessage="1" showErrorMessage="1">
          <x14:formula1>
            <xm:f>'EBM00255'!$C$161:$C$163</xm:f>
          </x14:formula1>
          <xm:sqref>E121:I121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X115"/>
  <sheetViews>
    <sheetView view="pageBreakPreview" zoomScale="85" zoomScaleNormal="100" zoomScaleSheetLayoutView="85" workbookViewId="0">
      <pane xSplit="1" ySplit="5" topLeftCell="B6" activePane="bottomRight" state="frozen"/>
      <selection activeCell="L15" sqref="L15"/>
      <selection pane="topRight" activeCell="L15" sqref="L15"/>
      <selection pane="bottomLeft" activeCell="L15" sqref="L15"/>
      <selection pane="bottomRight" activeCell="G2" sqref="G2:L2"/>
    </sheetView>
  </sheetViews>
  <sheetFormatPr baseColWidth="10" defaultColWidth="11.42578125" defaultRowHeight="15" x14ac:dyDescent="0.25"/>
  <cols>
    <col min="1" max="1" width="10.7109375" style="19" customWidth="1"/>
    <col min="2" max="2" width="25.140625" style="19" customWidth="1"/>
    <col min="3" max="3" width="9.28515625" style="19" customWidth="1"/>
    <col min="4" max="4" width="1.7109375" style="19" customWidth="1"/>
    <col min="5" max="8" width="11" style="19" customWidth="1"/>
    <col min="9" max="9" width="19.85546875" style="19" customWidth="1"/>
    <col min="10" max="10" width="0.5703125" style="19" customWidth="1"/>
    <col min="11" max="11" width="5" style="136" customWidth="1"/>
    <col min="12" max="12" width="20.5703125" style="23" bestFit="1" customWidth="1"/>
    <col min="13" max="13" width="3.140625" style="148" customWidth="1"/>
    <col min="14" max="14" width="17.85546875" style="19" customWidth="1"/>
    <col min="15" max="15" width="9" style="148" customWidth="1"/>
    <col min="16" max="16" width="15.28515625" style="144" customWidth="1"/>
    <col min="17" max="17" width="3.140625" style="3" customWidth="1"/>
    <col min="18" max="18" width="14.140625" style="131" bestFit="1" customWidth="1"/>
    <col min="19" max="19" width="2.42578125" style="131" customWidth="1"/>
    <col min="20" max="20" width="1.7109375" style="19" customWidth="1"/>
    <col min="21" max="21" width="20.5703125" style="136" customWidth="1"/>
    <col min="22" max="22" width="4.5703125" style="136" customWidth="1"/>
    <col min="23" max="23" width="4.5703125" style="81" customWidth="1"/>
    <col min="24" max="16384" width="11.42578125" style="19"/>
  </cols>
  <sheetData>
    <row r="1" spans="2:24" x14ac:dyDescent="0.25">
      <c r="B1" s="17"/>
      <c r="C1" s="17"/>
      <c r="D1" s="17"/>
      <c r="E1" s="17"/>
      <c r="F1" s="17"/>
      <c r="G1" s="17"/>
      <c r="H1" s="17"/>
      <c r="I1" s="17"/>
      <c r="J1" s="17"/>
      <c r="K1" s="17"/>
      <c r="L1" s="27"/>
      <c r="M1" s="97"/>
      <c r="N1" s="97" t="s">
        <v>312</v>
      </c>
      <c r="O1" s="97"/>
      <c r="P1" s="97"/>
      <c r="Q1" s="17"/>
      <c r="R1" s="17"/>
      <c r="S1" s="17"/>
      <c r="W1" s="19"/>
    </row>
    <row r="2" spans="2:24" ht="20.25" customHeight="1" x14ac:dyDescent="0.25">
      <c r="B2" s="39" t="s">
        <v>193</v>
      </c>
      <c r="C2" s="17"/>
      <c r="D2" s="17"/>
      <c r="E2" s="149" t="s">
        <v>524</v>
      </c>
      <c r="F2" s="17"/>
      <c r="G2" s="387"/>
      <c r="H2" s="388"/>
      <c r="I2" s="388"/>
      <c r="J2" s="388"/>
      <c r="K2" s="388"/>
      <c r="L2" s="389"/>
      <c r="M2" s="98"/>
      <c r="N2" s="144" t="s">
        <v>311</v>
      </c>
      <c r="O2" s="97"/>
      <c r="P2" s="97"/>
      <c r="Q2" s="17"/>
      <c r="R2" s="17"/>
      <c r="S2" s="17"/>
    </row>
    <row r="3" spans="2:24" ht="15" customHeight="1" x14ac:dyDescent="0.25">
      <c r="B3" s="17"/>
      <c r="C3" s="17"/>
      <c r="D3" s="17"/>
      <c r="E3" s="146" t="s">
        <v>572</v>
      </c>
      <c r="F3" s="17"/>
      <c r="G3" s="387" t="s">
        <v>312</v>
      </c>
      <c r="H3" s="388"/>
      <c r="I3" s="388"/>
      <c r="J3" s="388"/>
      <c r="K3" s="388"/>
      <c r="L3" s="389"/>
      <c r="M3" s="97"/>
      <c r="N3" s="17"/>
      <c r="O3" s="97"/>
      <c r="Q3" s="77"/>
      <c r="S3" s="17"/>
    </row>
    <row r="4" spans="2:24" s="103" customFormat="1" ht="25.5" x14ac:dyDescent="0.25">
      <c r="B4" s="150" t="s">
        <v>525</v>
      </c>
      <c r="E4" s="109" t="str">
        <f>'EBM00231'!C2</f>
        <v>2000058M</v>
      </c>
      <c r="F4" s="109"/>
      <c r="G4" s="110" t="str">
        <f>'EBM00231'!C1</f>
        <v>MCD Medical Line PANA.ceia³</v>
      </c>
      <c r="L4" s="104"/>
      <c r="M4" s="106"/>
      <c r="N4" s="105" t="str">
        <f>'EBM00231'!E1</f>
        <v>Rev. N</v>
      </c>
      <c r="O4" s="106"/>
      <c r="P4" s="106"/>
      <c r="Q4" s="105"/>
      <c r="R4" s="107"/>
      <c r="S4" s="107"/>
      <c r="W4" s="111"/>
    </row>
    <row r="5" spans="2:24" x14ac:dyDescent="0.25">
      <c r="B5" s="394" t="s">
        <v>66</v>
      </c>
      <c r="C5" s="395"/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395"/>
      <c r="S5" s="395"/>
    </row>
    <row r="6" spans="2:24" ht="5.25" customHeight="1" x14ac:dyDescent="0.25">
      <c r="B6" s="3"/>
      <c r="C6" s="3"/>
      <c r="D6" s="3"/>
      <c r="E6" s="3"/>
      <c r="F6" s="3"/>
      <c r="G6" s="3"/>
      <c r="H6" s="3"/>
      <c r="I6" s="3"/>
      <c r="J6" s="3"/>
      <c r="K6" s="131"/>
      <c r="L6" s="80"/>
      <c r="M6" s="144"/>
      <c r="N6" s="3"/>
      <c r="O6" s="144"/>
      <c r="P6" s="368"/>
      <c r="Q6" s="4"/>
      <c r="R6" s="5"/>
      <c r="S6" s="4"/>
    </row>
    <row r="7" spans="2:24" ht="20.25" x14ac:dyDescent="0.25">
      <c r="B7" s="135" t="s">
        <v>526</v>
      </c>
      <c r="D7" s="3"/>
      <c r="E7" s="3"/>
      <c r="F7" s="3"/>
      <c r="G7" s="3"/>
      <c r="H7" s="3"/>
      <c r="I7" s="3"/>
      <c r="J7" s="79"/>
      <c r="K7" s="176"/>
      <c r="L7" s="24" t="s">
        <v>75</v>
      </c>
      <c r="M7" s="99"/>
      <c r="N7" s="138" t="s">
        <v>546</v>
      </c>
      <c r="O7" s="369" t="s">
        <v>716</v>
      </c>
      <c r="P7" s="370" t="s">
        <v>189</v>
      </c>
      <c r="Q7" s="1"/>
      <c r="R7" s="2"/>
      <c r="S7" s="130"/>
      <c r="U7" s="121" t="s">
        <v>543</v>
      </c>
    </row>
    <row r="8" spans="2:24" x14ac:dyDescent="0.25">
      <c r="B8" s="3"/>
      <c r="C8" s="60"/>
      <c r="D8" s="3"/>
      <c r="E8" s="3"/>
      <c r="F8" s="3"/>
      <c r="G8" s="3"/>
      <c r="H8" s="3"/>
      <c r="I8" s="3"/>
      <c r="J8" s="3"/>
      <c r="K8" s="131"/>
      <c r="L8" s="80"/>
      <c r="M8" s="144"/>
      <c r="N8" s="3"/>
      <c r="O8" s="144"/>
      <c r="P8" s="371"/>
      <c r="Q8" s="7"/>
      <c r="R8" s="9"/>
      <c r="S8" s="7"/>
      <c r="U8" s="124" t="s">
        <v>544</v>
      </c>
    </row>
    <row r="9" spans="2:24" s="131" customFormat="1" ht="5.25" customHeight="1" x14ac:dyDescent="0.25">
      <c r="C9" s="145"/>
      <c r="L9" s="179"/>
      <c r="M9" s="144"/>
      <c r="N9" s="179"/>
      <c r="O9" s="144"/>
      <c r="P9" s="372"/>
    </row>
    <row r="10" spans="2:24" s="3" customFormat="1" x14ac:dyDescent="0.25">
      <c r="C10" s="139" t="s">
        <v>187</v>
      </c>
      <c r="D10" s="29"/>
      <c r="E10" s="78" t="str">
        <f>'EBM00231'!C5</f>
        <v>Gehäuse PANA.ceia³ MCD - Basis Gehäuse V4</v>
      </c>
      <c r="F10" s="29"/>
      <c r="G10" s="29"/>
      <c r="H10" s="29"/>
      <c r="I10" s="29"/>
      <c r="J10" s="61"/>
      <c r="K10" s="115"/>
      <c r="L10" s="30" t="str">
        <f>IF(INDEX('EBM00231'!B:B,MATCH(E10,'EBM00231'!C:C,0))=0,"",INDEX('EBM00231'!B:B,MATCH(E10,'EBM00231'!C:C,0)))</f>
        <v>3031210M</v>
      </c>
      <c r="M10" s="147"/>
      <c r="N10" s="30">
        <f>VLOOKUP(L10,'EBM00231'!B:F,3,FALSE)</f>
        <v>1</v>
      </c>
      <c r="O10" s="144" t="str">
        <f>IFERROR(VLOOKUP(L10,#REF!,4,FALSE),"")</f>
        <v/>
      </c>
      <c r="P10" s="371">
        <f>IFERROR(VLOOKUP(L10,'EBM00231'!$B:$F,4,),)</f>
        <v>144.19753086419752</v>
      </c>
      <c r="Q10" s="29"/>
      <c r="R10" s="31"/>
      <c r="S10" s="32"/>
      <c r="T10" s="26" t="e">
        <f>O10*Q10</f>
        <v>#VALUE!</v>
      </c>
      <c r="U10" s="84">
        <f t="shared" ref="U10:U41" si="0">N10*P10</f>
        <v>144.19753086419752</v>
      </c>
      <c r="V10" s="84"/>
      <c r="W10" s="82"/>
      <c r="X10" s="19"/>
    </row>
    <row r="11" spans="2:24" s="3" customFormat="1" x14ac:dyDescent="0.25">
      <c r="C11" s="139" t="s">
        <v>527</v>
      </c>
      <c r="D11" s="29"/>
      <c r="E11" s="78" t="str">
        <f>'EBM00231'!C6</f>
        <v>Netzteil (ATX 24pin) FSP 400W</v>
      </c>
      <c r="F11" s="29"/>
      <c r="G11" s="29"/>
      <c r="H11" s="29"/>
      <c r="I11" s="29"/>
      <c r="J11" s="61"/>
      <c r="K11" s="115"/>
      <c r="L11" s="30">
        <f>IF(INDEX('EBM00231'!B:B,MATCH(E11,'EBM00231'!C:C,0))=0,"",INDEX('EBM00231'!B:B,MATCH(E11,'EBM00231'!C:C,0)))</f>
        <v>2090249</v>
      </c>
      <c r="M11" s="147"/>
      <c r="N11" s="30">
        <f>VLOOKUP(L11,'EBM00231'!B:F,3,FALSE)</f>
        <v>1</v>
      </c>
      <c r="O11" s="144" t="str">
        <f>IFERROR(VLOOKUP(L11,#REF!,4,FALSE),"")</f>
        <v/>
      </c>
      <c r="P11" s="371">
        <f>IFERROR(VLOOKUP(L11,'EBM00231'!$B:$F,4,),)</f>
        <v>104.93827160493827</v>
      </c>
      <c r="Q11" s="29"/>
      <c r="R11" s="31"/>
      <c r="S11" s="32"/>
      <c r="U11" s="84">
        <f t="shared" si="0"/>
        <v>104.93827160493827</v>
      </c>
      <c r="V11" s="84"/>
      <c r="W11" s="82"/>
      <c r="X11" s="19"/>
    </row>
    <row r="12" spans="2:24" s="3" customFormat="1" x14ac:dyDescent="0.25">
      <c r="C12" s="154" t="s">
        <v>528</v>
      </c>
      <c r="D12" s="29"/>
      <c r="E12" s="78" t="str">
        <f>'EBM00231'!C7</f>
        <v>Mainboard µATX Fujitsu D3402-B2 Intel Q170</v>
      </c>
      <c r="F12" s="29"/>
      <c r="G12" s="29"/>
      <c r="H12" s="29"/>
      <c r="I12" s="29"/>
      <c r="J12" s="61"/>
      <c r="K12" s="115"/>
      <c r="L12" s="30" t="str">
        <f>IF(INDEX('EBM00231'!B:B,MATCH(E12,'EBM00231'!C:C,0))=0,"",INDEX('EBM00231'!B:B,MATCH(E12,'EBM00231'!C:C,0)))</f>
        <v>3050032M</v>
      </c>
      <c r="M12" s="147"/>
      <c r="N12" s="30">
        <f>VLOOKUP(L12,'EBM00231'!B:F,3,FALSE)</f>
        <v>1</v>
      </c>
      <c r="O12" s="144" t="str">
        <f>IFERROR(VLOOKUP(L12,#REF!,4,FALSE),"")</f>
        <v/>
      </c>
      <c r="P12" s="371">
        <f>IFERROR(VLOOKUP(L12,'EBM00231'!$B:$F,4,),)</f>
        <v>117.16049382716049</v>
      </c>
      <c r="Q12" s="29"/>
      <c r="R12" s="31"/>
      <c r="S12" s="32"/>
      <c r="U12" s="84">
        <f t="shared" si="0"/>
        <v>117.16049382716049</v>
      </c>
      <c r="V12" s="84"/>
      <c r="W12" s="82"/>
      <c r="X12" s="19"/>
    </row>
    <row r="13" spans="2:24" s="3" customFormat="1" x14ac:dyDescent="0.25">
      <c r="C13" s="28"/>
      <c r="D13" s="29"/>
      <c r="E13" s="78" t="str">
        <f>'EBM00231'!C8</f>
        <v>Gehäuse Standfuß Rund Ø21mm Höhe 6mm schwarz</v>
      </c>
      <c r="F13" s="29"/>
      <c r="G13" s="29"/>
      <c r="H13" s="29"/>
      <c r="I13" s="29"/>
      <c r="J13" s="61"/>
      <c r="K13" s="115"/>
      <c r="L13" s="30" t="str">
        <f>IF(INDEX('EBM00231'!B:B,MATCH(E13,'EBM00231'!C:C,0))=0,"",INDEX('EBM00231'!B:B,MATCH(E13,'EBM00231'!C:C,0)))</f>
        <v>3030026M</v>
      </c>
      <c r="M13" s="147"/>
      <c r="N13" s="30">
        <f>VLOOKUP(L13,'EBM00231'!B:F,3,FALSE)</f>
        <v>4</v>
      </c>
      <c r="O13" s="144" t="str">
        <f>IFERROR(VLOOKUP(L13,#REF!,4,FALSE),"")</f>
        <v/>
      </c>
      <c r="P13" s="371">
        <f>IFERROR(VLOOKUP(L13,'EBM00231'!$B:$F,4,),)</f>
        <v>0.4768518518518518</v>
      </c>
      <c r="Q13" s="29"/>
      <c r="R13" s="31"/>
      <c r="S13" s="32"/>
      <c r="U13" s="84">
        <f t="shared" si="0"/>
        <v>1.9074074074074072</v>
      </c>
      <c r="V13" s="84"/>
      <c r="W13" s="82"/>
      <c r="X13" s="19"/>
    </row>
    <row r="14" spans="2:24" s="3" customFormat="1" x14ac:dyDescent="0.25">
      <c r="C14" s="28"/>
      <c r="D14" s="29"/>
      <c r="E14" s="78" t="str">
        <f>'EBM00231'!C9</f>
        <v>Drucktaster, Ø19mm Typ 1241.2801 inkl. 300mm Kabel</v>
      </c>
      <c r="F14" s="29"/>
      <c r="G14" s="29"/>
      <c r="H14" s="29"/>
      <c r="I14" s="29"/>
      <c r="J14" s="61"/>
      <c r="K14" s="115"/>
      <c r="L14" s="30" t="str">
        <f>IF(INDEX('EBM00231'!B:B,MATCH(E14,'EBM00231'!C:C,0))=0,"",INDEX('EBM00231'!B:B,MATCH(E14,'EBM00231'!C:C,0)))</f>
        <v>7300089M</v>
      </c>
      <c r="M14" s="147"/>
      <c r="N14" s="30">
        <f>VLOOKUP(L14,'EBM00231'!B:F,3,FALSE)</f>
        <v>1</v>
      </c>
      <c r="O14" s="144" t="str">
        <f>IFERROR(VLOOKUP(L14,#REF!,4,FALSE),"")</f>
        <v/>
      </c>
      <c r="P14" s="371">
        <f>IFERROR(VLOOKUP(L14,'EBM00231'!$B:$F,4,),)</f>
        <v>9.6666666666666661</v>
      </c>
      <c r="Q14" s="29"/>
      <c r="R14" s="31"/>
      <c r="S14" s="32"/>
      <c r="U14" s="84">
        <f t="shared" si="0"/>
        <v>9.6666666666666661</v>
      </c>
      <c r="V14" s="84"/>
      <c r="W14" s="82"/>
      <c r="X14" s="19"/>
    </row>
    <row r="15" spans="2:24" s="3" customFormat="1" x14ac:dyDescent="0.25">
      <c r="C15" s="28"/>
      <c r="D15" s="29"/>
      <c r="E15" s="78" t="str">
        <f>'EBM00231'!C10</f>
        <v>LED Platine Radisys PL35Q V2</v>
      </c>
      <c r="F15" s="29"/>
      <c r="G15" s="29"/>
      <c r="H15" s="29"/>
      <c r="I15" s="29"/>
      <c r="J15" s="61"/>
      <c r="K15" s="115"/>
      <c r="L15" s="30" t="str">
        <f>IF(INDEX('EBM00231'!B:B,MATCH(E15,'EBM00231'!C:C,0))=0,"",INDEX('EBM00231'!B:B,MATCH(E15,'EBM00231'!C:C,0)))</f>
        <v>7000100M</v>
      </c>
      <c r="M15" s="147"/>
      <c r="N15" s="30">
        <f>VLOOKUP(L15,'EBM00231'!B:F,3,FALSE)</f>
        <v>1</v>
      </c>
      <c r="O15" s="144" t="str">
        <f>IFERROR(VLOOKUP(L15,#REF!,4,FALSE),"")</f>
        <v/>
      </c>
      <c r="P15" s="371">
        <f>IFERROR(VLOOKUP(L15,'EBM00231'!$B:$F,4,),)</f>
        <v>4.7407407407407405</v>
      </c>
      <c r="Q15" s="29"/>
      <c r="R15" s="31"/>
      <c r="S15" s="32"/>
      <c r="U15" s="84">
        <f t="shared" si="0"/>
        <v>4.7407407407407405</v>
      </c>
      <c r="V15" s="84"/>
      <c r="W15" s="82"/>
      <c r="X15" s="19"/>
    </row>
    <row r="16" spans="2:24" s="131" customFormat="1" x14ac:dyDescent="0.25">
      <c r="C16" s="139"/>
      <c r="D16" s="140"/>
      <c r="E16" s="78" t="str">
        <f>'EBM00231'!C11</f>
        <v>Dupont-Stecker (4-pol.)</v>
      </c>
      <c r="F16" s="140"/>
      <c r="G16" s="140"/>
      <c r="H16" s="140"/>
      <c r="I16" s="140"/>
      <c r="J16" s="115"/>
      <c r="K16" s="115"/>
      <c r="L16" s="141" t="str">
        <f>IF(INDEX('EBM00231'!B:B,MATCH(E16,'EBM00231'!C:C,0))=0,"",INDEX('EBM00231'!B:B,MATCH(E16,'EBM00231'!C:C,0)))</f>
        <v>7100224M</v>
      </c>
      <c r="M16" s="147"/>
      <c r="N16" s="141">
        <f>VLOOKUP(L16,'EBM00231'!B:F,3,FALSE)</f>
        <v>1</v>
      </c>
      <c r="O16" s="144" t="str">
        <f>IFERROR(VLOOKUP(L16,#REF!,4,FALSE),"")</f>
        <v/>
      </c>
      <c r="P16" s="371">
        <f>IFERROR(VLOOKUP(L16,'EBM00231'!$B:$F,4,),)</f>
        <v>0</v>
      </c>
      <c r="Q16" s="140"/>
      <c r="R16" s="31"/>
      <c r="S16" s="32"/>
      <c r="U16" s="84">
        <f t="shared" si="0"/>
        <v>0</v>
      </c>
      <c r="V16" s="84"/>
      <c r="W16" s="82"/>
      <c r="X16" s="136"/>
    </row>
    <row r="17" spans="3:24" s="3" customFormat="1" x14ac:dyDescent="0.25">
      <c r="C17" s="28"/>
      <c r="D17" s="29"/>
      <c r="E17" s="78" t="str">
        <f>'EBM00231'!C12</f>
        <v>Spacer Sleeve M4 3mm</v>
      </c>
      <c r="F17" s="29"/>
      <c r="G17" s="29"/>
      <c r="H17" s="29"/>
      <c r="I17" s="29"/>
      <c r="J17" s="61"/>
      <c r="K17" s="115"/>
      <c r="L17" s="30">
        <f>IF(INDEX('EBM00231'!B:B,MATCH(E17,'EBM00231'!C:C,0))=0,"",INDEX('EBM00231'!B:B,MATCH(E17,'EBM00231'!C:C,0)))</f>
        <v>9824720</v>
      </c>
      <c r="M17" s="147"/>
      <c r="N17" s="30">
        <f>VLOOKUP(L17,'EBM00231'!B:F,3,FALSE)</f>
        <v>4</v>
      </c>
      <c r="O17" s="144" t="str">
        <f>IFERROR(VLOOKUP(L17,#REF!,4,FALSE),"")</f>
        <v/>
      </c>
      <c r="P17" s="371">
        <f>IFERROR(VLOOKUP(L17,'EBM00231'!$B:$F,4,),)</f>
        <v>4.8765432098765431E-2</v>
      </c>
      <c r="Q17" s="29"/>
      <c r="R17" s="31"/>
      <c r="S17" s="32"/>
      <c r="U17" s="84">
        <f t="shared" si="0"/>
        <v>0.19506172839506172</v>
      </c>
      <c r="V17" s="84"/>
      <c r="W17" s="82"/>
      <c r="X17" s="19"/>
    </row>
    <row r="18" spans="3:24" s="131" customFormat="1" x14ac:dyDescent="0.25">
      <c r="C18" s="139"/>
      <c r="D18" s="140"/>
      <c r="E18" s="78" t="str">
        <f>'EBM00231'!C13</f>
        <v>Gehäuse AC1+2 Sicherungsmutter verz. M3</v>
      </c>
      <c r="F18" s="140"/>
      <c r="G18" s="140"/>
      <c r="H18" s="140"/>
      <c r="I18" s="140"/>
      <c r="J18" s="115"/>
      <c r="K18" s="115"/>
      <c r="L18" s="141">
        <f>IF(INDEX('EBM00231'!B:B,MATCH(E18,'EBM00231'!C:C,0))=0,"",INDEX('EBM00231'!B:B,MATCH(E18,'EBM00231'!C:C,0)))</f>
        <v>9824520</v>
      </c>
      <c r="M18" s="147"/>
      <c r="N18" s="141">
        <f>VLOOKUP(L18,'EBM00231'!B:F,3,FALSE)</f>
        <v>2</v>
      </c>
      <c r="O18" s="144" t="str">
        <f>IFERROR(VLOOKUP(L18,#REF!,4,FALSE),"")</f>
        <v/>
      </c>
      <c r="P18" s="371">
        <f>IFERROR(VLOOKUP(L18,'EBM00231'!$B:$F,4,),)</f>
        <v>0.30865432098765433</v>
      </c>
      <c r="Q18" s="140"/>
      <c r="R18" s="31"/>
      <c r="S18" s="32"/>
      <c r="U18" s="84">
        <f t="shared" si="0"/>
        <v>0.61730864197530866</v>
      </c>
      <c r="V18" s="84"/>
      <c r="W18" s="82"/>
      <c r="X18" s="136"/>
    </row>
    <row r="19" spans="3:24" s="3" customFormat="1" x14ac:dyDescent="0.25">
      <c r="C19" s="28"/>
      <c r="D19" s="29"/>
      <c r="E19" s="78" t="str">
        <f>'EBM00231'!C14</f>
        <v>Lichtleiter PANA.ceia²</v>
      </c>
      <c r="F19" s="29"/>
      <c r="G19" s="29"/>
      <c r="H19" s="29"/>
      <c r="I19" s="29"/>
      <c r="J19" s="61"/>
      <c r="K19" s="115"/>
      <c r="L19" s="30" t="str">
        <f>IF(INDEX('EBM00231'!B:B,MATCH(E19,'EBM00231'!C:C,0))=0,"",INDEX('EBM00231'!B:B,MATCH(E19,'EBM00231'!C:C,0)))</f>
        <v>7000052M</v>
      </c>
      <c r="M19" s="147"/>
      <c r="N19" s="30">
        <f>VLOOKUP(L19,'EBM00231'!B:F,3,FALSE)</f>
        <v>3</v>
      </c>
      <c r="O19" s="144" t="str">
        <f>IFERROR(VLOOKUP(L19,#REF!,4,FALSE),"")</f>
        <v/>
      </c>
      <c r="P19" s="371">
        <f>IFERROR(VLOOKUP(L19,'EBM00231'!$B:$F,4,),)</f>
        <v>0.22530864197530862</v>
      </c>
      <c r="Q19" s="29"/>
      <c r="R19" s="31"/>
      <c r="S19" s="32"/>
      <c r="U19" s="84">
        <f t="shared" si="0"/>
        <v>0.67592592592592582</v>
      </c>
      <c r="V19" s="84"/>
      <c r="W19" s="82"/>
      <c r="X19" s="19"/>
    </row>
    <row r="20" spans="3:24" s="3" customFormat="1" x14ac:dyDescent="0.25">
      <c r="C20" s="28"/>
      <c r="D20" s="29"/>
      <c r="E20" s="78" t="str">
        <f>'EBM00231'!C15</f>
        <v>Gehäuselüfter 80x80x25mm (24x7)</v>
      </c>
      <c r="F20" s="29"/>
      <c r="G20" s="29"/>
      <c r="H20" s="29"/>
      <c r="I20" s="29"/>
      <c r="J20" s="61"/>
      <c r="K20" s="115"/>
      <c r="L20" s="30">
        <f>IF(INDEX('EBM00231'!B:B,MATCH(E20,'EBM00231'!C:C,0))=0,"",INDEX('EBM00231'!B:B,MATCH(E20,'EBM00231'!C:C,0)))</f>
        <v>2750138</v>
      </c>
      <c r="M20" s="147"/>
      <c r="N20" s="119">
        <f>IF(OR(M41="i7",SUM(N64:N70)&gt;1),2,1)</f>
        <v>2</v>
      </c>
      <c r="O20" s="144" t="str">
        <f>IFERROR(VLOOKUP(L20,#REF!,4,FALSE),"")</f>
        <v/>
      </c>
      <c r="P20" s="371">
        <f>IFERROR(VLOOKUP(L20,'EBM00231'!$B:$F,4,),)</f>
        <v>7.1234567901234556</v>
      </c>
      <c r="Q20" s="29"/>
      <c r="R20" s="31"/>
      <c r="S20" s="32"/>
      <c r="U20" s="84">
        <f t="shared" si="0"/>
        <v>14.246913580246911</v>
      </c>
      <c r="V20" s="84"/>
      <c r="W20" s="82"/>
      <c r="X20" s="19"/>
    </row>
    <row r="21" spans="3:24" s="3" customFormat="1" x14ac:dyDescent="0.25">
      <c r="C21" s="28"/>
      <c r="D21" s="29"/>
      <c r="E21" s="78" t="str">
        <f>'EBM00231'!C16</f>
        <v>Lüfterhalterung 80x80mm Lüfter</v>
      </c>
      <c r="F21" s="29"/>
      <c r="G21" s="29"/>
      <c r="H21" s="29"/>
      <c r="I21" s="29"/>
      <c r="J21" s="61"/>
      <c r="K21" s="115"/>
      <c r="L21" s="30" t="str">
        <f>IF(INDEX('EBM00231'!B:B,MATCH(E21,'EBM00231'!C:C,0))=0,"",INDEX('EBM00231'!B:B,MATCH(E21,'EBM00231'!C:C,0)))</f>
        <v>7000048M</v>
      </c>
      <c r="M21" s="147"/>
      <c r="N21" s="30">
        <f>N20</f>
        <v>2</v>
      </c>
      <c r="O21" s="144" t="str">
        <f>IFERROR(VLOOKUP(L21,#REF!,4,FALSE),"")</f>
        <v/>
      </c>
      <c r="P21" s="371">
        <f>IFERROR(VLOOKUP(L21,'EBM00231'!$B:$F,4,),)</f>
        <v>1.6049382716049383</v>
      </c>
      <c r="Q21" s="29"/>
      <c r="R21" s="31"/>
      <c r="S21" s="32"/>
      <c r="U21" s="84">
        <f t="shared" si="0"/>
        <v>3.2098765432098766</v>
      </c>
      <c r="V21" s="84"/>
      <c r="W21" s="82"/>
      <c r="X21" s="19"/>
    </row>
    <row r="22" spans="3:24" s="3" customFormat="1" x14ac:dyDescent="0.25">
      <c r="C22" s="28"/>
      <c r="D22" s="29"/>
      <c r="E22" s="78" t="str">
        <f>'EBM00231'!C17</f>
        <v>ESD Lüftungsgitter 80x80mm Lüfter</v>
      </c>
      <c r="F22" s="29"/>
      <c r="G22" s="29"/>
      <c r="H22" s="29"/>
      <c r="I22" s="29"/>
      <c r="J22" s="61"/>
      <c r="K22" s="115"/>
      <c r="L22" s="30" t="str">
        <f>IF(INDEX('EBM00231'!B:B,MATCH(E22,'EBM00231'!C:C,0))=0,"",INDEX('EBM00231'!B:B,MATCH(E22,'EBM00231'!C:C,0)))</f>
        <v>7000049M</v>
      </c>
      <c r="M22" s="147"/>
      <c r="N22" s="30">
        <f>N20</f>
        <v>2</v>
      </c>
      <c r="O22" s="144" t="str">
        <f>IFERROR(VLOOKUP(L22,#REF!,4,FALSE),"")</f>
        <v/>
      </c>
      <c r="P22" s="371">
        <f>IFERROR(VLOOKUP(L22,'EBM00231'!$B:$F,4,),)</f>
        <v>2.2098765432098766</v>
      </c>
      <c r="Q22" s="29"/>
      <c r="R22" s="31"/>
      <c r="S22" s="32"/>
      <c r="U22" s="84">
        <f t="shared" si="0"/>
        <v>4.4197530864197532</v>
      </c>
      <c r="V22" s="84"/>
      <c r="W22" s="82"/>
      <c r="X22" s="19"/>
    </row>
    <row r="23" spans="3:24" s="3" customFormat="1" x14ac:dyDescent="0.25">
      <c r="C23" s="28"/>
      <c r="D23" s="29"/>
      <c r="E23" s="78" t="str">
        <f>'EBM00231'!C18</f>
        <v>Kabel SATA3 30cm mit Sicherung</v>
      </c>
      <c r="F23" s="29"/>
      <c r="G23" s="29"/>
      <c r="H23" s="29"/>
      <c r="I23" s="29"/>
      <c r="J23" s="61"/>
      <c r="K23" s="115"/>
      <c r="L23" s="30" t="str">
        <f>IF(INDEX('EBM00231'!B:B,MATCH(E23,'EBM00231'!C:C,0))=0,"",INDEX('EBM00231'!B:B,MATCH(E23,'EBM00231'!C:C,0)))</f>
        <v>7100053M</v>
      </c>
      <c r="M23" s="147"/>
      <c r="N23" s="30">
        <f>N47+N50+N60</f>
        <v>2</v>
      </c>
      <c r="O23" s="144" t="str">
        <f>IFERROR(VLOOKUP(L23,#REF!,4,FALSE),"")</f>
        <v/>
      </c>
      <c r="P23" s="371">
        <f>IFERROR(VLOOKUP(L23,'EBM00231'!$B:$F,4,),)</f>
        <v>0.46913580246913578</v>
      </c>
      <c r="Q23" s="29"/>
      <c r="R23" s="31"/>
      <c r="S23" s="32"/>
      <c r="U23" s="84">
        <f t="shared" si="0"/>
        <v>0.93827160493827155</v>
      </c>
      <c r="V23" s="84"/>
      <c r="W23" s="82"/>
      <c r="X23" s="19"/>
    </row>
    <row r="24" spans="3:24" s="3" customFormat="1" x14ac:dyDescent="0.25">
      <c r="C24" s="28"/>
      <c r="D24" s="29"/>
      <c r="E24" s="78" t="str">
        <f>'EBM00231'!C19</f>
        <v>Potential Ausgleichsbolzen 15mm (Set)</v>
      </c>
      <c r="F24" s="29"/>
      <c r="G24" s="29"/>
      <c r="H24" s="29"/>
      <c r="I24" s="29"/>
      <c r="J24" s="61"/>
      <c r="K24" s="115"/>
      <c r="L24" s="30">
        <f>IF(INDEX('EBM00231'!B:B,MATCH(E24,'EBM00231'!C:C,0))=0,"",INDEX('EBM00231'!B:B,MATCH(E24,'EBM00231'!C:C,0)))</f>
        <v>2090064</v>
      </c>
      <c r="M24" s="147"/>
      <c r="N24" s="30">
        <f>VLOOKUP(L24,'EBM00231'!B:F,3,FALSE)</f>
        <v>1</v>
      </c>
      <c r="O24" s="144" t="str">
        <f>IFERROR(VLOOKUP(L24,#REF!,4,FALSE),"")</f>
        <v/>
      </c>
      <c r="P24" s="371">
        <f>IFERROR(VLOOKUP(L24,'EBM00231'!$B:$F,4,),)</f>
        <v>0.91662962962962957</v>
      </c>
      <c r="Q24" s="29"/>
      <c r="R24" s="31"/>
      <c r="S24" s="32"/>
      <c r="U24" s="84">
        <f t="shared" si="0"/>
        <v>0.91662962962962957</v>
      </c>
      <c r="V24" s="84"/>
      <c r="W24" s="82"/>
      <c r="X24" s="19"/>
    </row>
    <row r="25" spans="3:24" s="131" customFormat="1" x14ac:dyDescent="0.25">
      <c r="C25" s="139"/>
      <c r="D25" s="140"/>
      <c r="E25" s="78" t="str">
        <f>'EBM00231'!C20</f>
        <v>Selbstsichernde Mutter (für POAG Set)</v>
      </c>
      <c r="F25" s="140"/>
      <c r="G25" s="140"/>
      <c r="H25" s="140"/>
      <c r="I25" s="140"/>
      <c r="J25" s="115"/>
      <c r="K25" s="115"/>
      <c r="L25" s="141" t="str">
        <f>IF(INDEX('EBM00231'!B:B,MATCH(E25,'EBM00231'!C:C,0))=0,"",INDEX('EBM00231'!B:B,MATCH(E25,'EBM00231'!C:C,0)))</f>
        <v>7000043M</v>
      </c>
      <c r="M25" s="147"/>
      <c r="N25" s="141">
        <f>VLOOKUP(L25,'EBM00231'!B:F,3,FALSE)</f>
        <v>1</v>
      </c>
      <c r="O25" s="144" t="str">
        <f>IFERROR(VLOOKUP(L25,#REF!,4,FALSE),"")</f>
        <v/>
      </c>
      <c r="P25" s="371">
        <f>IFERROR(VLOOKUP(L25,'EBM00231'!$B:$F,4,),)</f>
        <v>0</v>
      </c>
      <c r="Q25" s="140"/>
      <c r="R25" s="31"/>
      <c r="S25" s="32"/>
      <c r="U25" s="84">
        <f t="shared" si="0"/>
        <v>0</v>
      </c>
      <c r="V25" s="84"/>
      <c r="W25" s="82"/>
      <c r="X25" s="136"/>
    </row>
    <row r="26" spans="3:24" s="3" customFormat="1" x14ac:dyDescent="0.25">
      <c r="C26" s="28"/>
      <c r="D26" s="29"/>
      <c r="E26" s="78" t="str">
        <f>'EBM00231'!C21</f>
        <v>Slotblech metall</v>
      </c>
      <c r="F26" s="29"/>
      <c r="G26" s="29"/>
      <c r="H26" s="29"/>
      <c r="I26" s="29"/>
      <c r="J26" s="61"/>
      <c r="K26" s="115"/>
      <c r="L26" s="30">
        <f>IF(INDEX('EBM00231'!B:B,MATCH(E26,'EBM00231'!C:C,0))=0,"",INDEX('EBM00231'!B:B,MATCH(E26,'EBM00231'!C:C,0)))</f>
        <v>9827006</v>
      </c>
      <c r="M26" s="147"/>
      <c r="N26" s="30">
        <f>4-SUM(N64+N66+N68+N70+N78+N81)</f>
        <v>2</v>
      </c>
      <c r="O26" s="144" t="str">
        <f>IFERROR(VLOOKUP(L26,#REF!,4,FALSE),"")</f>
        <v/>
      </c>
      <c r="P26" s="371">
        <f>IFERROR(VLOOKUP(L26,'EBM00231'!$B:$F,4,),)</f>
        <v>0.98559259259259246</v>
      </c>
      <c r="Q26" s="29"/>
      <c r="R26" s="31"/>
      <c r="S26" s="32"/>
      <c r="U26" s="84">
        <f t="shared" si="0"/>
        <v>1.9711851851851849</v>
      </c>
      <c r="V26" s="84"/>
      <c r="W26" s="82"/>
      <c r="X26" s="19"/>
    </row>
    <row r="27" spans="3:24" s="3" customFormat="1" x14ac:dyDescent="0.25">
      <c r="C27" s="28"/>
      <c r="D27" s="29"/>
      <c r="E27" s="78" t="str">
        <f>'EBM00231'!C22</f>
        <v>Schraube UNC 6/32</v>
      </c>
      <c r="F27" s="29"/>
      <c r="G27" s="29"/>
      <c r="H27" s="29"/>
      <c r="I27" s="29"/>
      <c r="J27" s="61"/>
      <c r="K27" s="115"/>
      <c r="L27" s="30">
        <f>IF(INDEX('EBM00231'!B:B,MATCH(E27,'EBM00231'!C:C,0))=0,"",INDEX('EBM00231'!B:B,MATCH(E27,'EBM00231'!C:C,0)))</f>
        <v>9840000</v>
      </c>
      <c r="M27" s="147"/>
      <c r="N27" s="30">
        <f>VLOOKUP(L27,'EBM00231'!B:F,3,FALSE)</f>
        <v>4</v>
      </c>
      <c r="O27" s="144" t="str">
        <f>IFERROR(VLOOKUP(L27,#REF!,4,FALSE),"")</f>
        <v/>
      </c>
      <c r="P27" s="371">
        <f>IFERROR(VLOOKUP(L27,'EBM00231'!$B:$F,4,),)</f>
        <v>7.407407407407407E-2</v>
      </c>
      <c r="Q27" s="29"/>
      <c r="R27" s="31"/>
      <c r="S27" s="32"/>
      <c r="U27" s="84">
        <f t="shared" si="0"/>
        <v>0.29629629629629628</v>
      </c>
      <c r="V27" s="84"/>
      <c r="W27" s="82"/>
      <c r="X27" s="19"/>
    </row>
    <row r="28" spans="3:24" s="3" customFormat="1" x14ac:dyDescent="0.25">
      <c r="C28" s="28"/>
      <c r="D28" s="29"/>
      <c r="E28" s="78" t="str">
        <f>'EBM00231'!C23</f>
        <v>Linsenkopfschraube verz. M3 x 6</v>
      </c>
      <c r="F28" s="29"/>
      <c r="G28" s="29"/>
      <c r="H28" s="29"/>
      <c r="I28" s="29"/>
      <c r="J28" s="61"/>
      <c r="K28" s="115"/>
      <c r="L28" s="30">
        <f>IF(INDEX('EBM00231'!B:B,MATCH(E28,'EBM00231'!C:C,0))=0,"",INDEX('EBM00231'!B:B,MATCH(E28,'EBM00231'!C:C,0)))</f>
        <v>9824524</v>
      </c>
      <c r="M28" s="147"/>
      <c r="N28" s="30">
        <f>VLOOKUP(L28,'EBM00231'!B:F,3,FALSE)</f>
        <v>12</v>
      </c>
      <c r="O28" s="144" t="str">
        <f>IFERROR(VLOOKUP(L28,#REF!,4,FALSE),"")</f>
        <v/>
      </c>
      <c r="P28" s="371">
        <f>IFERROR(VLOOKUP(L28,'EBM00231'!$B:$F,4,),)</f>
        <v>3.7037037037037035E-2</v>
      </c>
      <c r="Q28" s="29"/>
      <c r="R28" s="31"/>
      <c r="S28" s="32"/>
      <c r="U28" s="84">
        <f t="shared" si="0"/>
        <v>0.44444444444444442</v>
      </c>
      <c r="V28" s="84"/>
      <c r="W28" s="82"/>
      <c r="X28" s="19"/>
    </row>
    <row r="29" spans="3:24" s="3" customFormat="1" x14ac:dyDescent="0.25">
      <c r="C29" s="28"/>
      <c r="D29" s="29"/>
      <c r="E29" s="78" t="str">
        <f>'EBM00231'!C24</f>
        <v>Kabel Strom Netz/Kaltgerätestecker 1.8m Int.</v>
      </c>
      <c r="F29" s="29"/>
      <c r="G29" s="29"/>
      <c r="H29" s="29"/>
      <c r="I29" s="29"/>
      <c r="J29" s="61"/>
      <c r="K29" s="115"/>
      <c r="L29" s="30">
        <f>IF(INDEX('EBM00231'!B:B,MATCH(E29,'EBM00231'!C:C,0))=0,"",INDEX('EBM00231'!B:B,MATCH(E29,'EBM00231'!C:C,0)))</f>
        <v>3809200</v>
      </c>
      <c r="M29" s="147"/>
      <c r="N29" s="30">
        <f>VLOOKUP(L29,'EBM00231'!B:F,3,FALSE)</f>
        <v>1</v>
      </c>
      <c r="O29" s="144" t="str">
        <f>IFERROR(VLOOKUP(L29,#REF!,4,FALSE),"")</f>
        <v/>
      </c>
      <c r="P29" s="371">
        <f>IFERROR(VLOOKUP(L29,'EBM00231'!$B:$F,4,),)</f>
        <v>1.9753086419753085</v>
      </c>
      <c r="Q29" s="29"/>
      <c r="R29" s="31"/>
      <c r="S29" s="32"/>
      <c r="U29" s="84">
        <f t="shared" si="0"/>
        <v>1.9753086419753085</v>
      </c>
      <c r="V29" s="84"/>
      <c r="W29" s="82"/>
      <c r="X29" s="19"/>
    </row>
    <row r="30" spans="3:24" s="3" customFormat="1" x14ac:dyDescent="0.25">
      <c r="C30" s="28"/>
      <c r="D30" s="29"/>
      <c r="E30" s="78" t="str">
        <f>'EBM00231'!C25</f>
        <v>Kabelbinder Schwarz 2.6x135mm</v>
      </c>
      <c r="F30" s="29"/>
      <c r="G30" s="29"/>
      <c r="H30" s="29"/>
      <c r="I30" s="29"/>
      <c r="J30" s="61"/>
      <c r="K30" s="115"/>
      <c r="L30" s="30" t="str">
        <f>IF(INDEX('EBM00231'!B:B,MATCH(E30,'EBM00231'!C:C,0))=0,"",INDEX('EBM00231'!B:B,MATCH(E30,'EBM00231'!C:C,0)))</f>
        <v>7000007M</v>
      </c>
      <c r="M30" s="147"/>
      <c r="N30" s="30">
        <f>VLOOKUP(L30,'EBM00231'!B:F,3,FALSE)</f>
        <v>14</v>
      </c>
      <c r="O30" s="144" t="str">
        <f>IFERROR(VLOOKUP(L30,#REF!,4,FALSE),"")</f>
        <v/>
      </c>
      <c r="P30" s="371">
        <f>IFERROR(VLOOKUP(L30,'EBM00231'!$B:$F,4,),)</f>
        <v>2.4691358024691357E-2</v>
      </c>
      <c r="Q30" s="29"/>
      <c r="R30" s="31"/>
      <c r="S30" s="32"/>
      <c r="U30" s="84">
        <f t="shared" si="0"/>
        <v>0.34567901234567899</v>
      </c>
      <c r="V30" s="84"/>
      <c r="W30" s="82"/>
      <c r="X30" s="19"/>
    </row>
    <row r="31" spans="3:24" s="131" customFormat="1" x14ac:dyDescent="0.25">
      <c r="C31" s="139"/>
      <c r="D31" s="140"/>
      <c r="E31" s="78" t="str">
        <f>'EBM00231'!C26</f>
        <v>Baukosten</v>
      </c>
      <c r="F31" s="140"/>
      <c r="G31" s="140"/>
      <c r="H31" s="140"/>
      <c r="I31" s="140"/>
      <c r="J31" s="115"/>
      <c r="K31" s="115"/>
      <c r="L31" s="141" t="str">
        <f>IF(INDEX('EBM00231'!B:B,MATCH(E31,'EBM00231'!C:C,0))=0,"",INDEX('EBM00231'!B:B,MATCH(E31,'EBM00231'!C:C,0)))</f>
        <v>8110070M</v>
      </c>
      <c r="M31" s="147"/>
      <c r="N31" s="141">
        <f>VLOOKUP(L31,'EBM00231'!B:F,3,FALSE)</f>
        <v>1</v>
      </c>
      <c r="O31" s="144"/>
      <c r="P31" s="371">
        <f>IFERROR(VLOOKUP(L31,'EBM00231'!$B:$F,4,),)</f>
        <v>86.419753086419746</v>
      </c>
      <c r="Q31" s="140"/>
      <c r="R31" s="31"/>
      <c r="S31" s="32"/>
      <c r="U31" s="84">
        <f t="shared" si="0"/>
        <v>86.419753086419746</v>
      </c>
      <c r="V31" s="84"/>
      <c r="W31" s="82"/>
      <c r="X31" s="136"/>
    </row>
    <row r="32" spans="3:24" s="131" customFormat="1" x14ac:dyDescent="0.25">
      <c r="C32" s="139"/>
      <c r="D32" s="140"/>
      <c r="E32" s="78" t="str">
        <f>'EBM00231'!C27</f>
        <v>Hologramm "Original Siegel"</v>
      </c>
      <c r="F32" s="140"/>
      <c r="G32" s="140"/>
      <c r="H32" s="140"/>
      <c r="I32" s="140"/>
      <c r="J32" s="115"/>
      <c r="K32" s="115"/>
      <c r="L32" s="141" t="str">
        <f>IF(INDEX('EBM00231'!B:B,MATCH(E32,'EBM00231'!C:C,0))=0,"",INDEX('EBM00231'!B:B,MATCH(E32,'EBM00231'!C:C,0)))</f>
        <v>7300147M</v>
      </c>
      <c r="M32" s="147"/>
      <c r="N32" s="141">
        <f>VLOOKUP(L32,'EBM00231'!B:F,3,FALSE)</f>
        <v>1</v>
      </c>
      <c r="O32" s="144" t="str">
        <f>IFERROR(VLOOKUP(L32,#REF!,4,FALSE),"")</f>
        <v/>
      </c>
      <c r="P32" s="371">
        <f>IFERROR(VLOOKUP(L32,'EBM00231'!$B:$F,4,),)</f>
        <v>4.9382716049382713E-2</v>
      </c>
      <c r="Q32" s="140"/>
      <c r="R32" s="31"/>
      <c r="S32" s="32"/>
      <c r="U32" s="84">
        <f t="shared" si="0"/>
        <v>4.9382716049382713E-2</v>
      </c>
      <c r="V32" s="84"/>
      <c r="W32" s="82"/>
      <c r="X32" s="136"/>
    </row>
    <row r="33" spans="2:24" s="131" customFormat="1" x14ac:dyDescent="0.25">
      <c r="C33" s="139"/>
      <c r="D33" s="140"/>
      <c r="E33" s="78" t="str">
        <f>'EBM00231'!C28</f>
        <v>Umkarton AESCU.certus³ / PANA.ceia³</v>
      </c>
      <c r="F33" s="140"/>
      <c r="G33" s="140"/>
      <c r="H33" s="140"/>
      <c r="I33" s="140"/>
      <c r="J33" s="115"/>
      <c r="K33" s="115"/>
      <c r="L33" s="141" t="str">
        <f>IF(INDEX('EBM00231'!B:B,MATCH(E33,'EBM00231'!C:C,0))=0,"",INDEX('EBM00231'!B:B,MATCH(E33,'EBM00231'!C:C,0)))</f>
        <v>7200038M</v>
      </c>
      <c r="M33" s="147"/>
      <c r="N33" s="141">
        <f>VLOOKUP(L33,'EBM00231'!B:F,3,FALSE)</f>
        <v>1</v>
      </c>
      <c r="O33" s="144" t="str">
        <f>IFERROR(VLOOKUP(L33,#REF!,4,FALSE),"")</f>
        <v/>
      </c>
      <c r="P33" s="371">
        <f>IFERROR(VLOOKUP(L33,'EBM00231'!$B:$F,4,),)</f>
        <v>5.7901234567901234</v>
      </c>
      <c r="Q33" s="140"/>
      <c r="R33" s="31"/>
      <c r="S33" s="32"/>
      <c r="U33" s="84">
        <f t="shared" si="0"/>
        <v>5.7901234567901234</v>
      </c>
      <c r="V33" s="84"/>
      <c r="W33" s="82"/>
      <c r="X33" s="136"/>
    </row>
    <row r="34" spans="2:24" s="131" customFormat="1" x14ac:dyDescent="0.25">
      <c r="C34" s="139"/>
      <c r="D34" s="140"/>
      <c r="E34" s="78" t="str">
        <f>'EBM00231'!C29</f>
        <v>Schaumteile AESCU.certus³ / PANA.ceia³</v>
      </c>
      <c r="F34" s="140"/>
      <c r="G34" s="140"/>
      <c r="H34" s="140"/>
      <c r="I34" s="140"/>
      <c r="J34" s="115"/>
      <c r="K34" s="115"/>
      <c r="L34" s="141" t="str">
        <f>IF(INDEX('EBM00231'!B:B,MATCH(E34,'EBM00231'!C:C,0))=0,"",INDEX('EBM00231'!B:B,MATCH(E34,'EBM00231'!C:C,0)))</f>
        <v>7200039M</v>
      </c>
      <c r="M34" s="147"/>
      <c r="N34" s="141">
        <f>VLOOKUP(L34,'EBM00231'!B:F,3,FALSE)</f>
        <v>1</v>
      </c>
      <c r="O34" s="144" t="str">
        <f>IFERROR(VLOOKUP(L34,#REF!,4,FALSE),"")</f>
        <v/>
      </c>
      <c r="P34" s="371">
        <f>IFERROR(VLOOKUP(L34,'EBM00231'!$B:$F,4,),)</f>
        <v>7.1975308641975309</v>
      </c>
      <c r="Q34" s="140"/>
      <c r="R34" s="31"/>
      <c r="S34" s="32"/>
      <c r="U34" s="84">
        <f t="shared" si="0"/>
        <v>7.1975308641975309</v>
      </c>
      <c r="V34" s="84"/>
      <c r="W34" s="82"/>
      <c r="X34" s="136"/>
    </row>
    <row r="35" spans="2:24" s="3" customFormat="1" x14ac:dyDescent="0.25">
      <c r="C35" s="28"/>
      <c r="D35" s="29"/>
      <c r="E35" s="78" t="str">
        <f>'EBM00231'!C30</f>
        <v>Zubehörkarton AESCU.certus³ / PANA.ceia³</v>
      </c>
      <c r="F35" s="29"/>
      <c r="G35" s="29"/>
      <c r="H35" s="29"/>
      <c r="I35" s="29"/>
      <c r="J35" s="61"/>
      <c r="K35" s="115"/>
      <c r="L35" s="141" t="str">
        <f>IF(INDEX('EBM00231'!B:B,MATCH(E35,'EBM00231'!C:C,0))=0,"",INDEX('EBM00231'!B:B,MATCH(E35,'EBM00231'!C:C,0)))</f>
        <v>7200040M</v>
      </c>
      <c r="M35" s="147"/>
      <c r="N35" s="141">
        <f>VLOOKUP(L35,'EBM00231'!B:F,3,FALSE)</f>
        <v>1</v>
      </c>
      <c r="O35" s="144" t="str">
        <f>IFERROR(VLOOKUP(L35,#REF!,4,FALSE),"")</f>
        <v/>
      </c>
      <c r="P35" s="371">
        <f>IFERROR(VLOOKUP(L35,'EBM00231'!$B:$F,4,),)</f>
        <v>2.0493827160493825</v>
      </c>
      <c r="Q35" s="29"/>
      <c r="R35" s="31"/>
      <c r="S35" s="32"/>
      <c r="U35" s="84">
        <f t="shared" si="0"/>
        <v>2.0493827160493825</v>
      </c>
      <c r="V35" s="84"/>
      <c r="W35" s="82"/>
      <c r="X35" s="19"/>
    </row>
    <row r="36" spans="2:24" s="131" customFormat="1" x14ac:dyDescent="0.25">
      <c r="C36" s="139"/>
      <c r="D36" s="140"/>
      <c r="E36" s="78" t="str">
        <f>'EBM00231'!C31</f>
        <v>Handbuch MCD Medical Line PANA.ceia³  DE/EN</v>
      </c>
      <c r="F36" s="140"/>
      <c r="G36" s="140"/>
      <c r="H36" s="140"/>
      <c r="I36" s="140"/>
      <c r="J36" s="115"/>
      <c r="K36" s="115"/>
      <c r="L36" s="141" t="str">
        <f>IF(INDEX('EBM00231'!B:B,MATCH(E36,'EBM00231'!C:C,0))=0,"",INDEX('EBM00231'!B:B,MATCH(E36,'EBM00231'!C:C,0)))</f>
        <v>6500068M_B</v>
      </c>
      <c r="M36" s="147"/>
      <c r="N36" s="141">
        <f>VLOOKUP(L36,'EBM00231'!B:F,3,FALSE)</f>
        <v>1</v>
      </c>
      <c r="O36" s="144" t="str">
        <f>IFERROR(VLOOKUP(L36,#REF!,4,FALSE),"")</f>
        <v/>
      </c>
      <c r="P36" s="371">
        <f>IFERROR(VLOOKUP(L36,'EBM00231'!$B:$F,4,),)</f>
        <v>2.0590123456790121</v>
      </c>
      <c r="Q36" s="140"/>
      <c r="R36" s="31"/>
      <c r="S36" s="32"/>
      <c r="U36" s="84">
        <f t="shared" si="0"/>
        <v>2.0590123456790121</v>
      </c>
      <c r="V36" s="84"/>
      <c r="W36" s="82"/>
      <c r="X36" s="136"/>
    </row>
    <row r="37" spans="2:24" s="3" customFormat="1" x14ac:dyDescent="0.25">
      <c r="C37" s="28"/>
      <c r="D37" s="29"/>
      <c r="E37" s="78" t="str">
        <f>'EBM00231'!C32</f>
        <v>MCD Produktflyer Man &amp; Machine</v>
      </c>
      <c r="F37" s="29"/>
      <c r="G37" s="29"/>
      <c r="H37" s="29"/>
      <c r="I37" s="29"/>
      <c r="J37" s="61"/>
      <c r="K37" s="115"/>
      <c r="L37" s="141" t="str">
        <f>IF(INDEX('EBM00231'!B:B,MATCH(E37,'EBM00231'!C:C,0))=0,"",INDEX('EBM00231'!B:B,MATCH(E37,'EBM00231'!C:C,0)))</f>
        <v>6500093M</v>
      </c>
      <c r="M37" s="147"/>
      <c r="N37" s="141">
        <f>VLOOKUP(L37,'EBM00231'!B:F,3,FALSE)</f>
        <v>1</v>
      </c>
      <c r="O37" s="144" t="str">
        <f>IFERROR(VLOOKUP(L37,#REF!,4,FALSE),"")</f>
        <v/>
      </c>
      <c r="P37" s="371">
        <f>IFERROR(VLOOKUP(L37,'EBM00231'!$B:$F,4,),)</f>
        <v>0</v>
      </c>
      <c r="Q37" s="29"/>
      <c r="R37" s="31"/>
      <c r="S37" s="32"/>
      <c r="U37" s="84">
        <f t="shared" si="0"/>
        <v>0</v>
      </c>
      <c r="V37" s="84"/>
      <c r="W37" s="82"/>
      <c r="X37" s="19"/>
    </row>
    <row r="38" spans="2:24" s="3" customFormat="1" ht="5.25" customHeight="1" x14ac:dyDescent="0.25">
      <c r="C38" s="60"/>
      <c r="K38" s="131"/>
      <c r="L38" s="30"/>
      <c r="M38" s="144"/>
      <c r="N38" s="30"/>
      <c r="O38" s="144"/>
      <c r="P38" s="371"/>
      <c r="R38" s="131"/>
      <c r="S38" s="131"/>
      <c r="U38" s="84">
        <f t="shared" si="0"/>
        <v>0</v>
      </c>
      <c r="V38" s="84"/>
      <c r="W38" s="82"/>
      <c r="X38" s="19"/>
    </row>
    <row r="39" spans="2:24" s="3" customFormat="1" x14ac:dyDescent="0.25">
      <c r="B39" s="135" t="s">
        <v>570</v>
      </c>
      <c r="C39" s="60"/>
      <c r="E39" s="61"/>
      <c r="F39" s="61"/>
      <c r="G39" s="61"/>
      <c r="H39" s="61"/>
      <c r="I39" s="61"/>
      <c r="J39" s="79"/>
      <c r="K39" s="176"/>
      <c r="L39" s="30"/>
      <c r="M39" s="147"/>
      <c r="N39" s="30"/>
      <c r="O39" s="144"/>
      <c r="P39" s="371"/>
      <c r="R39" s="134"/>
      <c r="S39" s="7"/>
      <c r="U39" s="84">
        <f t="shared" si="0"/>
        <v>0</v>
      </c>
      <c r="V39" s="84"/>
      <c r="W39" s="82"/>
      <c r="X39" s="19"/>
    </row>
    <row r="40" spans="2:24" s="3" customFormat="1" ht="5.25" customHeight="1" x14ac:dyDescent="0.25">
      <c r="C40" s="60"/>
      <c r="K40" s="131"/>
      <c r="L40" s="30"/>
      <c r="M40" s="144"/>
      <c r="N40" s="30"/>
      <c r="O40" s="144"/>
      <c r="P40" s="371"/>
      <c r="R40" s="131"/>
      <c r="S40" s="131"/>
      <c r="U40" s="84">
        <f t="shared" si="0"/>
        <v>0</v>
      </c>
      <c r="V40" s="84"/>
      <c r="W40" s="82"/>
      <c r="X40" s="19"/>
    </row>
    <row r="41" spans="2:24" s="3" customFormat="1" x14ac:dyDescent="0.25">
      <c r="C41" s="60" t="s">
        <v>44</v>
      </c>
      <c r="E41" s="387" t="s">
        <v>729</v>
      </c>
      <c r="F41" s="388"/>
      <c r="G41" s="388"/>
      <c r="H41" s="388"/>
      <c r="I41" s="389"/>
      <c r="J41" s="79"/>
      <c r="K41" s="176"/>
      <c r="L41" s="30">
        <f>IF(INDEX('EBM00231'!B:B,MATCH(E41,'EBM00231'!C:C,0))=0,"",INDEX('EBM00231'!B:B,MATCH(E41,'EBM00231'!C:C,0)))</f>
        <v>2181627</v>
      </c>
      <c r="M41" s="147" t="str">
        <f>VLOOKUP(L41,'EBM00231'!B:K,10,FALSE)</f>
        <v>i3</v>
      </c>
      <c r="N41" s="30">
        <f>VLOOKUP(L41,'EBM00231'!B:F,3,FALSE)</f>
        <v>1</v>
      </c>
      <c r="O41" s="144" t="str">
        <f>IFERROR(VLOOKUP(L41,#REF!,4,FALSE),"")</f>
        <v/>
      </c>
      <c r="P41" s="371">
        <f>IFERROR(VLOOKUP(L41,'EBM00231'!$B:$F,4,),)</f>
        <v>148.02469135802468</v>
      </c>
      <c r="Q41" s="7"/>
      <c r="R41" s="134"/>
      <c r="S41" s="7"/>
      <c r="U41" s="84">
        <f t="shared" si="0"/>
        <v>148.02469135802468</v>
      </c>
      <c r="V41" s="84"/>
      <c r="W41" s="82"/>
      <c r="X41" s="19"/>
    </row>
    <row r="42" spans="2:24" s="3" customFormat="1" x14ac:dyDescent="0.25">
      <c r="C42" s="60"/>
      <c r="E42" s="78" t="str">
        <f>IF(L41='EBM00231'!B45,'EBM00231'!C48,"---")</f>
        <v>---</v>
      </c>
      <c r="F42" s="78"/>
      <c r="G42" s="78"/>
      <c r="H42" s="78"/>
      <c r="I42" s="78"/>
      <c r="J42" s="114"/>
      <c r="K42" s="176"/>
      <c r="L42" s="30" t="str">
        <f>IF(INDEX('EBM00231'!B:B,MATCH(E42,'EBM00231'!C:C,0))=0,"",INDEX('EBM00231'!B:B,MATCH(E42,'EBM00231'!C:C,0)))</f>
        <v>---</v>
      </c>
      <c r="M42" s="147"/>
      <c r="N42" s="30">
        <f>VLOOKUP(L42,'EBM00231'!B:F,3,FALSE)</f>
        <v>0</v>
      </c>
      <c r="O42" s="144"/>
      <c r="P42" s="371">
        <f>IFERROR(VLOOKUP(L42,'EBM00231'!$B:$F,4,),)</f>
        <v>0</v>
      </c>
      <c r="Q42" s="7"/>
      <c r="R42" s="134"/>
      <c r="S42" s="7"/>
      <c r="U42" s="84">
        <f t="shared" ref="U42:U73" si="1">N42*P42</f>
        <v>0</v>
      </c>
      <c r="V42" s="84"/>
      <c r="W42" s="82"/>
      <c r="X42" s="19"/>
    </row>
    <row r="43" spans="2:24" s="3" customFormat="1" ht="5.25" customHeight="1" x14ac:dyDescent="0.25">
      <c r="C43" s="60"/>
      <c r="K43" s="131"/>
      <c r="L43" s="30"/>
      <c r="M43" s="144"/>
      <c r="N43" s="30"/>
      <c r="O43" s="144"/>
      <c r="P43" s="371"/>
      <c r="Q43" s="7"/>
      <c r="R43" s="9"/>
      <c r="S43" s="7"/>
      <c r="U43" s="84">
        <f t="shared" si="1"/>
        <v>0</v>
      </c>
      <c r="V43" s="84"/>
      <c r="W43" s="82"/>
      <c r="X43" s="19"/>
    </row>
    <row r="44" spans="2:24" s="3" customFormat="1" x14ac:dyDescent="0.25">
      <c r="C44" s="60" t="s">
        <v>1</v>
      </c>
      <c r="E44" s="387" t="s">
        <v>389</v>
      </c>
      <c r="F44" s="388"/>
      <c r="G44" s="388"/>
      <c r="H44" s="388"/>
      <c r="I44" s="389"/>
      <c r="J44" s="79">
        <v>1</v>
      </c>
      <c r="K44" s="176"/>
      <c r="L44" s="30">
        <f>IF(INDEX('EBM00231'!B:B,MATCH(E44,'EBM00231'!C:C,0))=0,"",INDEX('EBM00231'!B:B,MATCH(E44,'EBM00231'!C:C,0)))</f>
        <v>2690005</v>
      </c>
      <c r="M44" s="147"/>
      <c r="N44" s="67">
        <v>1</v>
      </c>
      <c r="O44" s="144" t="str">
        <f>IFERROR(VLOOKUP(L44,#REF!,4,FALSE),"")</f>
        <v/>
      </c>
      <c r="P44" s="371">
        <f>IFERROR(VLOOKUP(L44,'EBM00231'!$B:$F,4,),)</f>
        <v>89.506172839506164</v>
      </c>
      <c r="Q44" s="7"/>
      <c r="R44" s="134"/>
      <c r="S44" s="7"/>
      <c r="U44" s="84">
        <f t="shared" si="1"/>
        <v>89.506172839506164</v>
      </c>
      <c r="V44" s="84"/>
      <c r="W44" s="82"/>
      <c r="X44" s="19"/>
    </row>
    <row r="45" spans="2:24" s="3" customFormat="1" ht="5.25" customHeight="1" x14ac:dyDescent="0.25">
      <c r="C45" s="60"/>
      <c r="J45" s="3">
        <v>2</v>
      </c>
      <c r="K45" s="131"/>
      <c r="L45" s="30"/>
      <c r="M45" s="144"/>
      <c r="N45" s="30"/>
      <c r="O45" s="144"/>
      <c r="P45" s="371"/>
      <c r="Q45" s="7"/>
      <c r="R45" s="9"/>
      <c r="S45" s="7"/>
      <c r="U45" s="84">
        <f t="shared" si="1"/>
        <v>0</v>
      </c>
      <c r="V45" s="84"/>
      <c r="W45" s="82"/>
      <c r="X45" s="19"/>
    </row>
    <row r="46" spans="2:24" s="131" customFormat="1" ht="15" customHeight="1" x14ac:dyDescent="0.25">
      <c r="C46" s="145"/>
      <c r="E46" s="392" t="str">
        <f>IF(ISNA(VLOOKUP(L46,A:B,2,FALSE)),"",VLOOKUP(L46,A:B,2,FALSE))</f>
        <v>Betriebssystem auf folgenden Datenträger:</v>
      </c>
      <c r="F46" s="392"/>
      <c r="G46" s="392"/>
      <c r="H46" s="392"/>
      <c r="I46" s="392"/>
      <c r="J46" s="131">
        <v>2</v>
      </c>
      <c r="K46" s="170" t="s">
        <v>693</v>
      </c>
      <c r="L46" s="177" t="str">
        <f>IF(K47="Ja","8120067M","")</f>
        <v>8120067M</v>
      </c>
      <c r="M46" s="144"/>
      <c r="N46" s="141"/>
      <c r="O46" s="144"/>
      <c r="P46" s="371"/>
      <c r="Q46" s="7"/>
      <c r="R46" s="9"/>
      <c r="S46" s="7"/>
      <c r="U46" s="84">
        <f t="shared" si="1"/>
        <v>0</v>
      </c>
      <c r="V46" s="84"/>
      <c r="W46" s="82"/>
      <c r="X46" s="136"/>
    </row>
    <row r="47" spans="2:24" s="3" customFormat="1" x14ac:dyDescent="0.25">
      <c r="C47" s="151" t="s">
        <v>531</v>
      </c>
      <c r="E47" s="387" t="s">
        <v>563</v>
      </c>
      <c r="F47" s="388"/>
      <c r="G47" s="388"/>
      <c r="H47" s="388"/>
      <c r="I47" s="389"/>
      <c r="J47" s="79" t="str">
        <f>IF(K47="Nein","0","1")</f>
        <v>1</v>
      </c>
      <c r="K47" s="67" t="s">
        <v>256</v>
      </c>
      <c r="L47" s="30" t="str">
        <f>IF(INDEX('EBM00231'!B:B,MATCH(E47,'EBM00231'!C:C,0))=0,"",INDEX('EBM00231'!B:B,MATCH(E47,'EBM00231'!C:C,0)))</f>
        <v>3400044M</v>
      </c>
      <c r="M47" s="147">
        <f>VLOOKUP(L47,'EBM00231'!B:K,10,FALSE)</f>
        <v>2.5</v>
      </c>
      <c r="N47" s="30">
        <f>VLOOKUP(L47,'EBM00231'!B:F,3,FALSE)</f>
        <v>1</v>
      </c>
      <c r="O47" s="144" t="str">
        <f>IFERROR(VLOOKUP(L47,#REF!,4,FALSE),"")</f>
        <v/>
      </c>
      <c r="P47" s="371">
        <f>IFERROR(VLOOKUP(L47,'EBM00231'!$B:$F,4,),)</f>
        <v>72.716049382716037</v>
      </c>
      <c r="Q47" s="7"/>
      <c r="R47" s="50" t="str">
        <f>IF(OR(M47=3.5,M47="RAID"),1,"")</f>
        <v/>
      </c>
      <c r="S47" s="50">
        <f>IF(M47=2.5,1,"")</f>
        <v>1</v>
      </c>
      <c r="U47" s="84">
        <f t="shared" si="1"/>
        <v>72.716049382716037</v>
      </c>
      <c r="V47" s="84"/>
      <c r="W47" s="82"/>
      <c r="X47" s="19"/>
    </row>
    <row r="48" spans="2:24" s="3" customFormat="1" ht="5.25" customHeight="1" x14ac:dyDescent="0.25">
      <c r="C48" s="145"/>
      <c r="K48" s="131"/>
      <c r="L48" s="30"/>
      <c r="M48" s="147"/>
      <c r="N48" s="30"/>
      <c r="O48" s="144"/>
      <c r="P48" s="371"/>
      <c r="R48" s="50"/>
      <c r="S48" s="50" t="str">
        <f t="shared" ref="S48:S50" si="2">IF(M48=2.5,1,"")</f>
        <v/>
      </c>
      <c r="U48" s="84">
        <f t="shared" si="1"/>
        <v>0</v>
      </c>
      <c r="V48" s="84"/>
      <c r="W48" s="82"/>
      <c r="X48" s="19"/>
    </row>
    <row r="49" spans="2:24" s="131" customFormat="1" ht="15" customHeight="1" x14ac:dyDescent="0.25">
      <c r="C49" s="145"/>
      <c r="E49" s="392" t="str">
        <f>IF(ISNA(VLOOKUP(L49,A:B,2,FALSE)),"",VLOOKUP(L49,A:B,2,FALSE))</f>
        <v/>
      </c>
      <c r="F49" s="392"/>
      <c r="G49" s="392"/>
      <c r="H49" s="392"/>
      <c r="I49" s="392"/>
      <c r="L49" s="177" t="str">
        <f>IF(K50="Ja","8120067M","")</f>
        <v/>
      </c>
      <c r="M49" s="144"/>
      <c r="N49" s="141"/>
      <c r="O49" s="144"/>
      <c r="P49" s="371"/>
      <c r="Q49" s="7"/>
      <c r="R49" s="50"/>
      <c r="S49" s="50" t="str">
        <f t="shared" si="2"/>
        <v/>
      </c>
      <c r="U49" s="84">
        <f t="shared" si="1"/>
        <v>0</v>
      </c>
      <c r="V49" s="84"/>
      <c r="W49" s="82"/>
      <c r="X49" s="136"/>
    </row>
    <row r="50" spans="2:24" s="3" customFormat="1" x14ac:dyDescent="0.25">
      <c r="C50" s="145" t="s">
        <v>532</v>
      </c>
      <c r="E50" s="387" t="s">
        <v>178</v>
      </c>
      <c r="F50" s="388"/>
      <c r="G50" s="388"/>
      <c r="H50" s="388"/>
      <c r="I50" s="389"/>
      <c r="J50" s="180" t="str">
        <f>IF(K50="Nein","0","1")</f>
        <v>0</v>
      </c>
      <c r="K50" s="67" t="s">
        <v>257</v>
      </c>
      <c r="L50" s="30" t="str">
        <f>IF(INDEX('EBM00231'!B:B,MATCH(E50,'EBM00231'!C:C,0))=0,"",INDEX('EBM00231'!B:B,MATCH(E50,'EBM00231'!C:C,0)))</f>
        <v>---</v>
      </c>
      <c r="M50" s="147">
        <f>VLOOKUP(L50,'EBM00231'!B:K,10,FALSE)</f>
        <v>0</v>
      </c>
      <c r="N50" s="30">
        <f>VLOOKUP(L50,'EBM00231'!B:F,3,FALSE)</f>
        <v>0</v>
      </c>
      <c r="O50" s="144" t="str">
        <f>IFERROR(VLOOKUP(L50,#REF!,4,FALSE),"")</f>
        <v/>
      </c>
      <c r="P50" s="371">
        <f>IFERROR(VLOOKUP(L50,'EBM00231'!$B:$F,4,),)</f>
        <v>0</v>
      </c>
      <c r="Q50" s="7"/>
      <c r="R50" s="50" t="str">
        <f>IF(OR(M50=3.5,M50="RAID"),1,"")</f>
        <v/>
      </c>
      <c r="S50" s="50" t="str">
        <f t="shared" si="2"/>
        <v/>
      </c>
      <c r="U50" s="84">
        <f t="shared" si="1"/>
        <v>0</v>
      </c>
      <c r="V50" s="84"/>
      <c r="W50" s="82"/>
      <c r="X50" s="19"/>
    </row>
    <row r="51" spans="2:24" s="3" customFormat="1" ht="4.5" customHeight="1" x14ac:dyDescent="0.25">
      <c r="C51" s="60"/>
      <c r="E51" s="79"/>
      <c r="F51" s="79"/>
      <c r="G51" s="79"/>
      <c r="H51" s="79"/>
      <c r="I51" s="79"/>
      <c r="J51" s="79"/>
      <c r="K51" s="176"/>
      <c r="L51" s="30"/>
      <c r="M51" s="147"/>
      <c r="N51" s="30"/>
      <c r="O51" s="144"/>
      <c r="P51" s="371"/>
      <c r="Q51" s="7"/>
      <c r="R51" s="141"/>
      <c r="S51" s="141"/>
      <c r="U51" s="84">
        <f t="shared" si="1"/>
        <v>0</v>
      </c>
      <c r="V51" s="84"/>
      <c r="W51" s="82"/>
      <c r="X51" s="19"/>
    </row>
    <row r="52" spans="2:24" s="3" customFormat="1" x14ac:dyDescent="0.25">
      <c r="C52" s="60" t="s">
        <v>715</v>
      </c>
      <c r="D52" s="3" t="str">
        <f>IF(AND(M47="RAID",M50="RAID"),"RAID","")</f>
        <v/>
      </c>
      <c r="E52" s="387" t="s">
        <v>178</v>
      </c>
      <c r="F52" s="388"/>
      <c r="G52" s="388"/>
      <c r="H52" s="388"/>
      <c r="I52" s="389"/>
      <c r="J52" s="79"/>
      <c r="K52" s="176"/>
      <c r="L52" s="30" t="str">
        <f>IF(INDEX('EBM00231'!B:B,MATCH(E52,'EBM00231'!C:C,0))=0,"",INDEX('EBM00231'!B:B,MATCH(E52,'EBM00231'!C:C,0)))</f>
        <v>---</v>
      </c>
      <c r="M52" s="147"/>
      <c r="N52" s="30">
        <f>VLOOKUP(L52,'EBM00231'!B:F,3,FALSE)</f>
        <v>0</v>
      </c>
      <c r="O52" s="144"/>
      <c r="P52" s="371">
        <f>IFERROR(VLOOKUP(L52,'EBM00231'!$B:$F,4,),)</f>
        <v>0</v>
      </c>
      <c r="Q52" s="7"/>
      <c r="R52" s="141"/>
      <c r="S52" s="141"/>
      <c r="U52" s="84">
        <f t="shared" si="1"/>
        <v>0</v>
      </c>
      <c r="V52" s="84"/>
      <c r="W52" s="82"/>
      <c r="X52" s="19"/>
    </row>
    <row r="53" spans="2:24" s="3" customFormat="1" x14ac:dyDescent="0.25">
      <c r="C53" s="60"/>
      <c r="E53" s="79" t="str">
        <f>'EBM00231'!C69</f>
        <v>Schraube UNC6/32 0.19" HDD</v>
      </c>
      <c r="F53" s="79"/>
      <c r="G53" s="79"/>
      <c r="H53" s="79"/>
      <c r="I53" s="79"/>
      <c r="J53" s="79"/>
      <c r="K53" s="176"/>
      <c r="L53" s="30">
        <f>IF(INDEX('EBM00231'!B:B,MATCH(E53,'EBM00231'!C:C,0))=0,"",INDEX('EBM00231'!B:B,MATCH(E53,'EBM00231'!C:C,0)))</f>
        <v>9840002</v>
      </c>
      <c r="M53" s="148"/>
      <c r="N53" s="30">
        <f>SUM(R47:R50)*4</f>
        <v>0</v>
      </c>
      <c r="O53" s="144"/>
      <c r="P53" s="371">
        <f>IFERROR(VLOOKUP(L53,'EBM00231'!$B:$F,4,),)</f>
        <v>6.1728395061728392E-2</v>
      </c>
      <c r="Q53" s="7"/>
      <c r="R53" s="8"/>
      <c r="S53" s="130"/>
      <c r="U53" s="84">
        <f t="shared" si="1"/>
        <v>0</v>
      </c>
      <c r="V53" s="84"/>
      <c r="W53" s="82"/>
      <c r="X53" s="19"/>
    </row>
    <row r="54" spans="2:24" s="3" customFormat="1" x14ac:dyDescent="0.25">
      <c r="C54" s="60"/>
      <c r="E54" s="79" t="str">
        <f>'EBM00231'!C68</f>
        <v>Einbaurahmen 2.5" HDD/SSD in 3.5" Schacht</v>
      </c>
      <c r="F54" s="79"/>
      <c r="G54" s="79"/>
      <c r="H54" s="79"/>
      <c r="I54" s="79"/>
      <c r="J54" s="79"/>
      <c r="K54" s="176"/>
      <c r="L54" s="30">
        <f>IF(INDEX('EBM00231'!B:B,MATCH(E54,'EBM00231'!C:C,0))=0,"",INDEX('EBM00231'!B:B,MATCH(E54,'EBM00231'!C:C,0)))</f>
        <v>4197924</v>
      </c>
      <c r="M54" s="148"/>
      <c r="N54" s="30">
        <f>IF(AND(M47=2.5,M50=2.5),2,IF(OR(M47=2.5,M50=2.5),1,0))</f>
        <v>1</v>
      </c>
      <c r="O54" s="144" t="str">
        <f>IFERROR(VLOOKUP(L54,#REF!,4,FALSE),"")</f>
        <v/>
      </c>
      <c r="P54" s="371">
        <f>IFERROR(VLOOKUP(L54,'EBM00231'!$B:$F,4,),)</f>
        <v>3.7037037037037033</v>
      </c>
      <c r="Q54" s="7"/>
      <c r="R54" s="8"/>
      <c r="S54" s="130"/>
      <c r="U54" s="84">
        <f t="shared" si="1"/>
        <v>3.7037037037037033</v>
      </c>
      <c r="V54" s="84"/>
      <c r="W54" s="82"/>
      <c r="X54" s="19"/>
    </row>
    <row r="55" spans="2:24" s="131" customFormat="1" x14ac:dyDescent="0.25">
      <c r="C55" s="145"/>
      <c r="E55" s="187" t="str">
        <f>'EBM00231'!C70</f>
        <v>Linsenschraube BN4825 M3x5</v>
      </c>
      <c r="F55" s="187"/>
      <c r="G55" s="187"/>
      <c r="H55" s="187"/>
      <c r="I55" s="187"/>
      <c r="J55" s="187"/>
      <c r="K55" s="187"/>
      <c r="L55" s="141" t="str">
        <f>IF(INDEX('EBM00231'!B:B,MATCH(E55,'EBM00231'!C:C,0))=0,"",INDEX('EBM00231'!B:B,MATCH(E55,'EBM00231'!C:C,0)))</f>
        <v>7000065M</v>
      </c>
      <c r="M55" s="148"/>
      <c r="N55" s="141">
        <f>SUM(S47:S60)*4</f>
        <v>8</v>
      </c>
      <c r="O55" s="144" t="str">
        <f>IFERROR(VLOOKUP(L55,#REF!,4,FALSE),"")</f>
        <v/>
      </c>
      <c r="P55" s="371">
        <f>IFERROR(VLOOKUP(L55,'EBM00231'!$B:$F,4,),)</f>
        <v>2.4691358024691357E-2</v>
      </c>
      <c r="Q55" s="7"/>
      <c r="R55" s="8"/>
      <c r="S55" s="130"/>
      <c r="U55" s="84">
        <f t="shared" si="1"/>
        <v>0.19753086419753085</v>
      </c>
      <c r="V55" s="84"/>
      <c r="W55" s="82"/>
      <c r="X55" s="136"/>
    </row>
    <row r="56" spans="2:24" s="131" customFormat="1" x14ac:dyDescent="0.25">
      <c r="C56" s="145"/>
      <c r="E56" s="187" t="str">
        <f>'EBM00231'!C71</f>
        <v>Kabel Molex inkl. Widerstand 27 Ohm</v>
      </c>
      <c r="F56" s="187"/>
      <c r="G56" s="187"/>
      <c r="H56" s="187"/>
      <c r="I56" s="187"/>
      <c r="J56" s="187"/>
      <c r="K56" s="187"/>
      <c r="L56" s="141" t="str">
        <f>IF(INDEX('EBM00231'!B:B,MATCH(E56,'EBM00231'!C:C,0))=0,"",INDEX('EBM00231'!B:B,MATCH(E56,'EBM00231'!C:C,0)))</f>
        <v>7100226M</v>
      </c>
      <c r="M56" s="148"/>
      <c r="N56" s="141">
        <f>IF(AND(SUM(S47:S60)&lt;=1,SUM(R47:R50)&lt;1,S60&lt;&gt;1),1,0)</f>
        <v>0</v>
      </c>
      <c r="O56" s="144"/>
      <c r="P56" s="371">
        <f>IFERROR(VLOOKUP(L56,'EBM00231'!$B:$F,4,),)</f>
        <v>0</v>
      </c>
      <c r="Q56" s="7"/>
      <c r="R56" s="8"/>
      <c r="S56" s="130"/>
      <c r="U56" s="84">
        <f t="shared" si="1"/>
        <v>0</v>
      </c>
      <c r="V56" s="84"/>
      <c r="W56" s="82"/>
      <c r="X56" s="136"/>
    </row>
    <row r="57" spans="2:24" s="131" customFormat="1" x14ac:dyDescent="0.25">
      <c r="C57" s="145"/>
      <c r="E57" s="187" t="str">
        <f>'EBM00231'!C72</f>
        <v>Schraube M3x6 Linse VA Kreuz</v>
      </c>
      <c r="F57" s="187"/>
      <c r="G57" s="187"/>
      <c r="H57" s="187"/>
      <c r="I57" s="187"/>
      <c r="J57" s="187"/>
      <c r="K57" s="187"/>
      <c r="L57" s="141" t="str">
        <f>IF(INDEX('EBM00231'!B:B,MATCH(E57,'EBM00231'!C:C,0))=0,"",INDEX('EBM00231'!B:B,MATCH(E57,'EBM00231'!C:C,0)))</f>
        <v>7300045M</v>
      </c>
      <c r="M57" s="148"/>
      <c r="N57" s="141">
        <f>IF(N56=1,VLOOKUP(L57,'EBM00231'!B:F,3,FALSE),0)</f>
        <v>0</v>
      </c>
      <c r="O57" s="144"/>
      <c r="P57" s="371">
        <f>IFERROR(VLOOKUP(L57,'EBM00231'!$B:$F,4,),)</f>
        <v>8.6419753086419762E-2</v>
      </c>
      <c r="Q57" s="7"/>
      <c r="R57" s="8"/>
      <c r="S57" s="130"/>
      <c r="U57" s="84">
        <f t="shared" si="1"/>
        <v>0</v>
      </c>
      <c r="V57" s="84"/>
      <c r="W57" s="82"/>
      <c r="X57" s="136"/>
    </row>
    <row r="58" spans="2:24" s="131" customFormat="1" x14ac:dyDescent="0.25">
      <c r="C58" s="145"/>
      <c r="E58" s="187" t="str">
        <f>'EBM00231'!C73</f>
        <v>Sicherungsmutter M3 VA</v>
      </c>
      <c r="F58" s="187"/>
      <c r="G58" s="187"/>
      <c r="H58" s="187"/>
      <c r="I58" s="187"/>
      <c r="J58" s="187"/>
      <c r="K58" s="187"/>
      <c r="L58" s="141" t="str">
        <f>IF(INDEX('EBM00231'!B:B,MATCH(E58,'EBM00231'!C:C,0))=0,"",INDEX('EBM00231'!B:B,MATCH(E58,'EBM00231'!C:C,0)))</f>
        <v>7300068M</v>
      </c>
      <c r="M58" s="148"/>
      <c r="N58" s="141">
        <f>IF(N56=1,VLOOKUP(L58,'EBM00231'!B:F,3,FALSE),0)</f>
        <v>0</v>
      </c>
      <c r="O58" s="144"/>
      <c r="P58" s="371">
        <f>IFERROR(VLOOKUP(L58,'EBM00231'!$B:$F,4,),)</f>
        <v>2.4691358024691357E-2</v>
      </c>
      <c r="Q58" s="7"/>
      <c r="R58" s="8"/>
      <c r="S58" s="130"/>
      <c r="U58" s="84">
        <f t="shared" si="1"/>
        <v>0</v>
      </c>
      <c r="V58" s="84"/>
      <c r="W58" s="82"/>
      <c r="X58" s="136"/>
    </row>
    <row r="59" spans="2:24" s="3" customFormat="1" ht="6.75" customHeight="1" x14ac:dyDescent="0.25">
      <c r="B59" s="131"/>
      <c r="C59" s="145"/>
      <c r="E59" s="79"/>
      <c r="F59" s="79"/>
      <c r="G59" s="79"/>
      <c r="H59" s="79"/>
      <c r="I59" s="79"/>
      <c r="J59" s="79"/>
      <c r="K59" s="176"/>
      <c r="L59" s="80"/>
      <c r="M59" s="148"/>
      <c r="N59" s="30"/>
      <c r="O59" s="144"/>
      <c r="P59" s="371"/>
      <c r="Q59" s="7"/>
      <c r="R59" s="8"/>
      <c r="S59" s="130"/>
      <c r="U59" s="84">
        <f t="shared" si="1"/>
        <v>0</v>
      </c>
      <c r="V59" s="84"/>
      <c r="W59" s="82"/>
      <c r="X59" s="19"/>
    </row>
    <row r="60" spans="2:24" s="3" customFormat="1" x14ac:dyDescent="0.25">
      <c r="B60" s="131"/>
      <c r="C60" s="145" t="s">
        <v>573</v>
      </c>
      <c r="E60" s="387" t="s">
        <v>95</v>
      </c>
      <c r="F60" s="388"/>
      <c r="G60" s="388"/>
      <c r="H60" s="388"/>
      <c r="I60" s="389"/>
      <c r="J60" s="79"/>
      <c r="K60" s="176"/>
      <c r="L60" s="30" t="str">
        <f>IF(INDEX('EBM00231'!B:B,MATCH(E60,'EBM00231'!C:C,0))=0,"",INDEX('EBM00231'!B:B,MATCH(E60,'EBM00231'!C:C,0)))</f>
        <v>3500017M</v>
      </c>
      <c r="M60" s="147"/>
      <c r="N60" s="30">
        <f>VLOOKUP(L60,'EBM00231'!B:F,3,FALSE)</f>
        <v>1</v>
      </c>
      <c r="O60" s="144" t="str">
        <f>IFERROR(VLOOKUP(L60,#REF!,4,FALSE),"")</f>
        <v/>
      </c>
      <c r="P60" s="371">
        <f>IFERROR(VLOOKUP(L60,'EBM00231'!$B:$F,4,),)</f>
        <v>39.382716049382715</v>
      </c>
      <c r="Q60" s="7"/>
      <c r="R60" s="134"/>
      <c r="S60" s="50">
        <f>N60</f>
        <v>1</v>
      </c>
      <c r="U60" s="84">
        <f t="shared" si="1"/>
        <v>39.382716049382715</v>
      </c>
      <c r="V60" s="84"/>
      <c r="W60" s="82"/>
      <c r="X60" s="19"/>
    </row>
    <row r="61" spans="2:24" s="3" customFormat="1" x14ac:dyDescent="0.25">
      <c r="B61" s="131"/>
      <c r="C61" s="145"/>
      <c r="E61" s="79" t="str">
        <f>IF($E$60&lt;&gt;"---",'EBM00231'!C81,"---")</f>
        <v>Kabel SATA-Strom nach 5.25" 15cm</v>
      </c>
      <c r="F61" s="79"/>
      <c r="G61" s="79"/>
      <c r="H61" s="79"/>
      <c r="I61" s="79"/>
      <c r="J61" s="79"/>
      <c r="K61" s="176"/>
      <c r="L61" s="30">
        <f>IF(INDEX('EBM00231'!B:B,MATCH(E61,'EBM00231'!C:C,0))=0,"",INDEX('EBM00231'!B:B,MATCH(E61,'EBM00231'!C:C,0)))</f>
        <v>3810016</v>
      </c>
      <c r="M61" s="147"/>
      <c r="N61" s="30">
        <f>IF(G3="Ja",VLOOKUP(L61,'EBM00231'!B:F,3,FALSE),0)</f>
        <v>1</v>
      </c>
      <c r="O61" s="144" t="str">
        <f>IFERROR(VLOOKUP(L61,#REF!,4,FALSE),"")</f>
        <v/>
      </c>
      <c r="P61" s="371">
        <f>IFERROR(VLOOKUP(L61,'EBM00231'!$B:$F,4,),)</f>
        <v>0.48114814814814816</v>
      </c>
      <c r="Q61" s="7"/>
      <c r="R61" s="134"/>
      <c r="S61" s="7"/>
      <c r="U61" s="84">
        <f t="shared" si="1"/>
        <v>0.48114814814814816</v>
      </c>
      <c r="V61" s="84"/>
      <c r="W61" s="82"/>
      <c r="X61" s="19"/>
    </row>
    <row r="62" spans="2:24" s="3" customFormat="1" x14ac:dyDescent="0.25">
      <c r="B62" s="131"/>
      <c r="C62" s="145"/>
      <c r="E62" s="79" t="str">
        <f>IF(AND($E$60&lt;&gt;"---",G3="JA"),'EBM00231'!C80,"---")</f>
        <v>Abgaben und Gebühren</v>
      </c>
      <c r="F62" s="79"/>
      <c r="G62" s="79"/>
      <c r="H62" s="79"/>
      <c r="I62" s="79"/>
      <c r="J62" s="79"/>
      <c r="K62" s="176"/>
      <c r="L62" s="30" t="str">
        <f>IF(INDEX('EBM00231'!B:B,MATCH(E62,'EBM00231'!C:C,0))=0,"",INDEX('EBM00231'!B:B,MATCH(E62,'EBM00231'!C:C,0)))</f>
        <v>8190001M</v>
      </c>
      <c r="M62" s="147"/>
      <c r="N62" s="30">
        <f>VLOOKUP(L62,'EBM00231'!B:F,3,FALSE)</f>
        <v>1</v>
      </c>
      <c r="O62" s="144"/>
      <c r="P62" s="371">
        <f>IFERROR(VLOOKUP(L62,'EBM00231'!$B:$F,4,),)</f>
        <v>46.913580246913575</v>
      </c>
      <c r="Q62" s="7"/>
      <c r="R62" s="134"/>
      <c r="S62" s="7"/>
      <c r="U62" s="84">
        <f t="shared" si="1"/>
        <v>46.913580246913575</v>
      </c>
      <c r="V62" s="84"/>
      <c r="W62" s="82"/>
      <c r="X62" s="19"/>
    </row>
    <row r="63" spans="2:24" s="3" customFormat="1" ht="3.75" customHeight="1" x14ac:dyDescent="0.25">
      <c r="B63" s="131"/>
      <c r="C63" s="127"/>
      <c r="K63" s="131"/>
      <c r="L63" s="30"/>
      <c r="M63" s="148"/>
      <c r="N63" s="30"/>
      <c r="O63" s="144"/>
      <c r="P63" s="371"/>
      <c r="Q63" s="7"/>
      <c r="R63" s="8"/>
      <c r="S63" s="130"/>
      <c r="U63" s="84">
        <f t="shared" si="1"/>
        <v>0</v>
      </c>
      <c r="V63" s="84"/>
      <c r="W63" s="82"/>
      <c r="X63" s="19"/>
    </row>
    <row r="64" spans="2:24" s="3" customFormat="1" ht="15" customHeight="1" x14ac:dyDescent="0.25">
      <c r="B64" s="129"/>
      <c r="C64" s="132" t="s">
        <v>286</v>
      </c>
      <c r="D64" s="19"/>
      <c r="E64" s="387" t="s">
        <v>718</v>
      </c>
      <c r="F64" s="388"/>
      <c r="G64" s="388"/>
      <c r="H64" s="388"/>
      <c r="I64" s="389"/>
      <c r="J64" s="79"/>
      <c r="K64" s="176"/>
      <c r="L64" s="30" t="str">
        <f>IF(INDEX('EBM00231'!B:B,MATCH(E64,'EBM00231'!C:C,0))=0,"",INDEX('EBM00231'!B:B,MATCH(E64,'EBM00231'!C:C,0)))</f>
        <v>3600068M</v>
      </c>
      <c r="M64" s="148" t="str">
        <f>VLOOKUP(L64,'EBM00231'!B:L,11,FALSE)</f>
        <v>Lüfter</v>
      </c>
      <c r="N64" s="30">
        <f>VLOOKUP(L64,'EBM00231'!B:F,3,FALSE)</f>
        <v>1</v>
      </c>
      <c r="O64" s="144" t="str">
        <f>IFERROR(VLOOKUP(L64,#REF!,4,FALSE),"")</f>
        <v/>
      </c>
      <c r="P64" s="371">
        <f>IFERROR(VLOOKUP(L64,'EBM00231'!$B:$F,4,),)</f>
        <v>270.44444444444446</v>
      </c>
      <c r="Q64" s="7"/>
      <c r="R64" s="8"/>
      <c r="S64" s="130"/>
      <c r="U64" s="84">
        <f t="shared" si="1"/>
        <v>270.44444444444446</v>
      </c>
      <c r="V64" s="84"/>
      <c r="W64" s="82"/>
      <c r="X64" s="19"/>
    </row>
    <row r="65" spans="2:24" s="3" customFormat="1" ht="4.5" customHeight="1" x14ac:dyDescent="0.25">
      <c r="B65" s="129"/>
      <c r="C65" s="132"/>
      <c r="D65" s="19"/>
      <c r="E65" s="10"/>
      <c r="F65" s="10"/>
      <c r="G65" s="10"/>
      <c r="H65" s="10"/>
      <c r="I65" s="10"/>
      <c r="J65" s="79"/>
      <c r="K65" s="176"/>
      <c r="L65" s="30"/>
      <c r="M65" s="148"/>
      <c r="N65" s="30"/>
      <c r="O65" s="144"/>
      <c r="P65" s="371"/>
      <c r="Q65" s="7"/>
      <c r="R65" s="8"/>
      <c r="S65" s="130"/>
      <c r="U65" s="84">
        <f t="shared" si="1"/>
        <v>0</v>
      </c>
      <c r="V65" s="84"/>
      <c r="W65" s="82"/>
      <c r="X65" s="19"/>
    </row>
    <row r="66" spans="2:24" s="3" customFormat="1" ht="15" customHeight="1" x14ac:dyDescent="0.25">
      <c r="B66" s="129"/>
      <c r="C66" s="132" t="s">
        <v>287</v>
      </c>
      <c r="D66" s="19"/>
      <c r="E66" s="387" t="s">
        <v>101</v>
      </c>
      <c r="F66" s="388"/>
      <c r="G66" s="388"/>
      <c r="H66" s="388"/>
      <c r="I66" s="389"/>
      <c r="J66" s="79"/>
      <c r="K66" s="176"/>
      <c r="L66" s="30" t="str">
        <f>IF(INDEX('EBM00231'!B:B,MATCH(E66,'EBM00231'!C:C,0))=0,"",INDEX('EBM00231'!B:B,MATCH(E66,'EBM00231'!C:C,0)))</f>
        <v>3600038M</v>
      </c>
      <c r="M66" s="148">
        <f>VLOOKUP(L66,'EBM00231'!B:L,11,FALSE)</f>
        <v>0</v>
      </c>
      <c r="N66" s="30">
        <f>VLOOKUP(L66,'EBM00231'!B:F,3,FALSE)</f>
        <v>1</v>
      </c>
      <c r="O66" s="144" t="str">
        <f>IFERROR(VLOOKUP(L66,#REF!,4,FALSE),"")</f>
        <v/>
      </c>
      <c r="P66" s="371">
        <f>IFERROR(VLOOKUP(L66,'EBM00231'!$B:$F,4,),)</f>
        <v>32.592592592592588</v>
      </c>
      <c r="Q66" s="29"/>
      <c r="R66" s="31"/>
      <c r="S66" s="32"/>
      <c r="U66" s="84">
        <f t="shared" si="1"/>
        <v>32.592592592592588</v>
      </c>
      <c r="V66" s="84"/>
      <c r="W66" s="82"/>
      <c r="X66" s="19"/>
    </row>
    <row r="67" spans="2:24" s="3" customFormat="1" ht="4.5" customHeight="1" x14ac:dyDescent="0.25">
      <c r="B67" s="129"/>
      <c r="C67" s="132"/>
      <c r="D67" s="19"/>
      <c r="E67" s="10"/>
      <c r="F67" s="10"/>
      <c r="G67" s="10"/>
      <c r="H67" s="10"/>
      <c r="I67" s="10"/>
      <c r="J67" s="79"/>
      <c r="K67" s="176"/>
      <c r="L67" s="30"/>
      <c r="M67" s="148"/>
      <c r="N67" s="30"/>
      <c r="O67" s="144"/>
      <c r="P67" s="371"/>
      <c r="Q67" s="7"/>
      <c r="R67" s="8"/>
      <c r="S67" s="130"/>
      <c r="U67" s="84">
        <f t="shared" si="1"/>
        <v>0</v>
      </c>
      <c r="V67" s="84"/>
      <c r="W67" s="82"/>
      <c r="X67" s="19"/>
    </row>
    <row r="68" spans="2:24" s="3" customFormat="1" ht="15" customHeight="1" x14ac:dyDescent="0.25">
      <c r="B68" s="129"/>
      <c r="C68" s="132" t="s">
        <v>288</v>
      </c>
      <c r="D68" s="19"/>
      <c r="E68" s="387" t="s">
        <v>178</v>
      </c>
      <c r="F68" s="388"/>
      <c r="G68" s="388"/>
      <c r="H68" s="388"/>
      <c r="I68" s="389"/>
      <c r="J68" s="79"/>
      <c r="K68" s="176"/>
      <c r="L68" s="30" t="str">
        <f>IF(INDEX('EBM00231'!B:B,MATCH(E68,'EBM00231'!C:C,0))=0,"",INDEX('EBM00231'!B:B,MATCH(E68,'EBM00231'!C:C,0)))</f>
        <v>---</v>
      </c>
      <c r="M68" s="148"/>
      <c r="N68" s="30">
        <f>VLOOKUP(L68,'EBM00231'!B:F,3,FALSE)</f>
        <v>0</v>
      </c>
      <c r="O68" s="144" t="str">
        <f>IFERROR(VLOOKUP(L68,#REF!,4,FALSE),"")</f>
        <v/>
      </c>
      <c r="P68" s="371">
        <f>IFERROR(VLOOKUP(L68,'EBM00231'!$B:$F,4,),)</f>
        <v>0</v>
      </c>
      <c r="Q68" s="7"/>
      <c r="R68" s="8"/>
      <c r="S68" s="130"/>
      <c r="U68" s="84">
        <f t="shared" si="1"/>
        <v>0</v>
      </c>
      <c r="V68" s="84"/>
      <c r="W68" s="82"/>
      <c r="X68" s="19"/>
    </row>
    <row r="69" spans="2:24" s="3" customFormat="1" ht="4.5" customHeight="1" x14ac:dyDescent="0.25">
      <c r="B69" s="129"/>
      <c r="C69" s="132"/>
      <c r="D69" s="19"/>
      <c r="E69" s="10"/>
      <c r="F69" s="10"/>
      <c r="G69" s="10"/>
      <c r="H69" s="10"/>
      <c r="I69" s="10"/>
      <c r="J69" s="79"/>
      <c r="K69" s="176"/>
      <c r="L69" s="30"/>
      <c r="M69" s="148"/>
      <c r="N69" s="30"/>
      <c r="O69" s="144"/>
      <c r="P69" s="371"/>
      <c r="Q69" s="7"/>
      <c r="R69" s="8"/>
      <c r="S69" s="130"/>
      <c r="U69" s="84">
        <f t="shared" si="1"/>
        <v>0</v>
      </c>
      <c r="V69" s="84"/>
      <c r="W69" s="82"/>
      <c r="X69" s="19"/>
    </row>
    <row r="70" spans="2:24" s="3" customFormat="1" ht="15" customHeight="1" x14ac:dyDescent="0.25">
      <c r="B70" s="129"/>
      <c r="C70" s="132" t="s">
        <v>288</v>
      </c>
      <c r="D70" s="19"/>
      <c r="E70" s="387" t="s">
        <v>178</v>
      </c>
      <c r="F70" s="388"/>
      <c r="G70" s="388"/>
      <c r="H70" s="388"/>
      <c r="I70" s="389"/>
      <c r="J70" s="19"/>
      <c r="K70" s="136"/>
      <c r="L70" s="30" t="str">
        <f>IF(INDEX('EBM00231'!B:B,MATCH(E70,'EBM00231'!C:C,0))=0,"",INDEX('EBM00231'!B:B,MATCH(E70,'EBM00231'!C:C,0)))</f>
        <v>---</v>
      </c>
      <c r="M70" s="148"/>
      <c r="N70" s="30">
        <f>VLOOKUP(L70,'EBM00231'!B:F,3,FALSE)</f>
        <v>0</v>
      </c>
      <c r="O70" s="144" t="str">
        <f>IFERROR(VLOOKUP(L70,#REF!,4,FALSE),"")</f>
        <v/>
      </c>
      <c r="P70" s="371">
        <f>IFERROR(VLOOKUP(L70,'EBM00231'!$B:$F,4,),)</f>
        <v>0</v>
      </c>
      <c r="R70" s="8"/>
      <c r="S70" s="130"/>
      <c r="U70" s="84">
        <f t="shared" si="1"/>
        <v>0</v>
      </c>
      <c r="V70" s="84"/>
      <c r="W70" s="82"/>
      <c r="X70" s="19"/>
    </row>
    <row r="71" spans="2:24" s="3" customFormat="1" ht="4.5" customHeight="1" x14ac:dyDescent="0.25">
      <c r="B71" s="131"/>
      <c r="C71" s="132"/>
      <c r="K71" s="131"/>
      <c r="L71" s="30"/>
      <c r="M71" s="144"/>
      <c r="N71" s="30"/>
      <c r="O71" s="144"/>
      <c r="P71" s="371"/>
      <c r="R71" s="131"/>
      <c r="S71" s="131"/>
      <c r="U71" s="84">
        <f t="shared" si="1"/>
        <v>0</v>
      </c>
      <c r="V71" s="84"/>
      <c r="W71" s="82"/>
      <c r="X71" s="19"/>
    </row>
    <row r="72" spans="2:24" s="3" customFormat="1" x14ac:dyDescent="0.25">
      <c r="B72" s="131"/>
      <c r="C72" s="132" t="s">
        <v>67</v>
      </c>
      <c r="E72" s="387" t="s">
        <v>178</v>
      </c>
      <c r="F72" s="388"/>
      <c r="G72" s="388"/>
      <c r="H72" s="388"/>
      <c r="I72" s="389"/>
      <c r="K72" s="131"/>
      <c r="L72" s="30" t="str">
        <f>IF(INDEX('EBM00231'!B:B,MATCH(E72,'EBM00231'!C:C,0))=0,"",INDEX('EBM00231'!B:B,MATCH(E72,'EBM00231'!C:C,0)))</f>
        <v>---</v>
      </c>
      <c r="M72" s="144"/>
      <c r="N72" s="67">
        <v>1</v>
      </c>
      <c r="O72" s="144" t="str">
        <f>IFERROR(VLOOKUP(L72,#REF!,4,FALSE),"")</f>
        <v/>
      </c>
      <c r="P72" s="371">
        <f>IFERROR(VLOOKUP(L72,'EBM00231'!$B:$F,4,),)</f>
        <v>0</v>
      </c>
      <c r="R72" s="131"/>
      <c r="S72" s="131"/>
      <c r="U72" s="84">
        <f t="shared" si="1"/>
        <v>0</v>
      </c>
      <c r="V72" s="84"/>
      <c r="W72" s="82"/>
      <c r="X72" s="19"/>
    </row>
    <row r="73" spans="2:24" s="3" customFormat="1" x14ac:dyDescent="0.25">
      <c r="C73" s="60"/>
      <c r="E73" s="3" t="str">
        <f>IF($E$72="---","---",'EBM00231'!C99)</f>
        <v>---</v>
      </c>
      <c r="K73" s="131"/>
      <c r="L73" s="30" t="str">
        <f>IF(INDEX('EBM00231'!B:B,MATCH(E73,'EBM00231'!C:C,0))=0,"",INDEX('EBM00231'!B:B,MATCH(E73,'EBM00231'!C:C,0)))</f>
        <v>---</v>
      </c>
      <c r="M73" s="144"/>
      <c r="N73" s="30">
        <f>IF($E$72&lt;&gt;"---",$N$72,0)</f>
        <v>0</v>
      </c>
      <c r="O73" s="144" t="str">
        <f>IFERROR(VLOOKUP(L73,#REF!,4,FALSE),"")</f>
        <v/>
      </c>
      <c r="P73" s="371">
        <f>IFERROR(VLOOKUP(L73,'EBM00231'!$B:$F,4,),)</f>
        <v>0</v>
      </c>
      <c r="R73" s="131"/>
      <c r="S73" s="131"/>
      <c r="U73" s="84">
        <f t="shared" si="1"/>
        <v>0</v>
      </c>
      <c r="V73" s="84"/>
      <c r="W73" s="82"/>
      <c r="X73" s="19"/>
    </row>
    <row r="74" spans="2:24" s="3" customFormat="1" x14ac:dyDescent="0.25">
      <c r="C74" s="60"/>
      <c r="E74" s="3" t="str">
        <f>IF($E$72="---","---",'EBM00231'!C100)</f>
        <v>---</v>
      </c>
      <c r="K74" s="131"/>
      <c r="L74" s="30" t="str">
        <f>IF(INDEX('EBM00231'!B:B,MATCH(E74,'EBM00231'!C:C,0))=0,"",INDEX('EBM00231'!B:B,MATCH(E74,'EBM00231'!C:C,0)))</f>
        <v>---</v>
      </c>
      <c r="M74" s="144"/>
      <c r="N74" s="30">
        <f>IF($E$72&lt;&gt;"---",$N$72,0)</f>
        <v>0</v>
      </c>
      <c r="O74" s="144" t="str">
        <f>IFERROR(VLOOKUP(L74,#REF!,4,FALSE),"")</f>
        <v/>
      </c>
      <c r="P74" s="371">
        <f>IFERROR(VLOOKUP(L74,'EBM00231'!$B:$F,4,),)</f>
        <v>0</v>
      </c>
      <c r="R74" s="131"/>
      <c r="S74" s="131"/>
      <c r="U74" s="84">
        <f t="shared" ref="U74:U89" si="3">N74*P74</f>
        <v>0</v>
      </c>
      <c r="V74" s="84"/>
      <c r="W74" s="82"/>
      <c r="X74" s="19"/>
    </row>
    <row r="75" spans="2:24" s="3" customFormat="1" x14ac:dyDescent="0.25">
      <c r="C75" s="60"/>
      <c r="E75" s="3" t="str">
        <f>IF($E$72="---","---",'EBM00231'!C101)</f>
        <v>---</v>
      </c>
      <c r="K75" s="131"/>
      <c r="L75" s="30" t="str">
        <f>IF(INDEX('EBM00231'!B:B,MATCH(E75,'EBM00231'!C:C,0))=0,"",INDEX('EBM00231'!B:B,MATCH(E75,'EBM00231'!C:C,0)))</f>
        <v>---</v>
      </c>
      <c r="M75" s="144"/>
      <c r="N75" s="30">
        <f>IF($E$72&lt;&gt;"---",$N$72,0)</f>
        <v>0</v>
      </c>
      <c r="O75" s="144" t="str">
        <f>IFERROR(VLOOKUP(L75,#REF!,4,FALSE),"")</f>
        <v/>
      </c>
      <c r="P75" s="371">
        <f>IFERROR(VLOOKUP(L75,'EBM00231'!$B:$F,4,),)</f>
        <v>0</v>
      </c>
      <c r="R75" s="131"/>
      <c r="S75" s="131"/>
      <c r="U75" s="84">
        <f t="shared" si="3"/>
        <v>0</v>
      </c>
      <c r="V75" s="84"/>
      <c r="W75" s="82"/>
      <c r="X75" s="19"/>
    </row>
    <row r="76" spans="2:24" s="3" customFormat="1" ht="3.75" customHeight="1" x14ac:dyDescent="0.25">
      <c r="C76" s="60"/>
      <c r="K76" s="131"/>
      <c r="L76" s="30"/>
      <c r="M76" s="144"/>
      <c r="N76" s="30"/>
      <c r="O76" s="144"/>
      <c r="P76" s="371"/>
      <c r="R76" s="131"/>
      <c r="S76" s="131"/>
      <c r="U76" s="84">
        <f t="shared" si="3"/>
        <v>0</v>
      </c>
      <c r="V76" s="84"/>
      <c r="W76" s="82"/>
      <c r="X76" s="19"/>
    </row>
    <row r="77" spans="2:24" s="3" customFormat="1" x14ac:dyDescent="0.25">
      <c r="C77" s="60" t="s">
        <v>295</v>
      </c>
      <c r="E77" s="387" t="s">
        <v>311</v>
      </c>
      <c r="F77" s="388"/>
      <c r="G77" s="388"/>
      <c r="H77" s="388"/>
      <c r="I77" s="389"/>
      <c r="K77" s="131"/>
      <c r="L77" s="80"/>
      <c r="M77" s="144"/>
      <c r="N77" s="80"/>
      <c r="O77" s="144" t="str">
        <f>IFERROR(VLOOKUP(L77,#REF!,4,FALSE),"")</f>
        <v/>
      </c>
      <c r="P77" s="371"/>
      <c r="R77" s="131"/>
      <c r="S77" s="131"/>
      <c r="U77" s="84">
        <f t="shared" si="3"/>
        <v>0</v>
      </c>
      <c r="V77" s="84"/>
      <c r="W77" s="82"/>
      <c r="X77" s="19"/>
    </row>
    <row r="78" spans="2:24" s="3" customFormat="1" x14ac:dyDescent="0.25">
      <c r="C78" s="60"/>
      <c r="E78" s="29" t="str">
        <f>IF(E77="Ja",'EBM00231'!C105,"---")</f>
        <v>---</v>
      </c>
      <c r="K78" s="131"/>
      <c r="L78" s="30" t="str">
        <f>IF(INDEX('EBM00231'!B:B,MATCH(E78,'EBM00231'!C:C,0))=0,"",INDEX('EBM00231'!B:B,MATCH(E78,'EBM00231'!C:C,0)))</f>
        <v>---</v>
      </c>
      <c r="M78" s="144"/>
      <c r="N78" s="30">
        <f>VLOOKUP(L78,'EBM00231'!B:F,3,FALSE)</f>
        <v>0</v>
      </c>
      <c r="O78" s="144" t="str">
        <f>IFERROR(VLOOKUP(L78,#REF!,4,FALSE),"")</f>
        <v/>
      </c>
      <c r="P78" s="371">
        <f>IFERROR(VLOOKUP(L78,'EBM00231'!$B:$F,4,),)</f>
        <v>0</v>
      </c>
      <c r="R78" s="131"/>
      <c r="S78" s="131"/>
      <c r="U78" s="84">
        <f t="shared" si="3"/>
        <v>0</v>
      </c>
      <c r="V78" s="84"/>
      <c r="W78" s="82"/>
      <c r="X78" s="19"/>
    </row>
    <row r="79" spans="2:24" s="3" customFormat="1" ht="8.25" customHeight="1" x14ac:dyDescent="0.25">
      <c r="C79" s="60"/>
      <c r="K79" s="131"/>
      <c r="L79" s="80"/>
      <c r="M79" s="144"/>
      <c r="N79" s="80"/>
      <c r="O79" s="144"/>
      <c r="P79" s="371"/>
      <c r="R79" s="131"/>
      <c r="S79" s="131"/>
      <c r="U79" s="84">
        <f t="shared" si="3"/>
        <v>0</v>
      </c>
      <c r="V79" s="84"/>
      <c r="W79" s="82"/>
      <c r="X79" s="19"/>
    </row>
    <row r="80" spans="2:24" s="3" customFormat="1" x14ac:dyDescent="0.25">
      <c r="C80" s="60" t="s">
        <v>296</v>
      </c>
      <c r="E80" s="387" t="s">
        <v>257</v>
      </c>
      <c r="F80" s="388"/>
      <c r="G80" s="388"/>
      <c r="H80" s="388"/>
      <c r="I80" s="389"/>
      <c r="K80" s="131"/>
      <c r="L80" s="80"/>
      <c r="M80" s="144"/>
      <c r="N80" s="80"/>
      <c r="O80" s="144" t="str">
        <f>IFERROR(VLOOKUP(L80,#REF!,4,FALSE),"")</f>
        <v/>
      </c>
      <c r="P80" s="371"/>
      <c r="R80" s="131"/>
      <c r="S80" s="131"/>
      <c r="U80" s="84">
        <f t="shared" si="3"/>
        <v>0</v>
      </c>
      <c r="V80" s="84"/>
      <c r="W80" s="82"/>
      <c r="X80" s="19"/>
    </row>
    <row r="81" spans="2:24" s="3" customFormat="1" x14ac:dyDescent="0.25">
      <c r="C81" s="60"/>
      <c r="E81" s="29" t="str">
        <f>IF(E80="Ja",'EBM00231'!C104,"---")</f>
        <v>---</v>
      </c>
      <c r="K81" s="131"/>
      <c r="L81" s="30" t="str">
        <f>IF(INDEX('EBM00231'!B:B,MATCH(E81,'EBM00231'!C:C,0))=0,"",INDEX('EBM00231'!B:B,MATCH(E81,'EBM00231'!C:C,0)))</f>
        <v>---</v>
      </c>
      <c r="M81" s="144"/>
      <c r="N81" s="30">
        <f>VLOOKUP(L81,'EBM00231'!B:F,3,FALSE)</f>
        <v>0</v>
      </c>
      <c r="O81" s="144" t="str">
        <f>IFERROR(VLOOKUP(L81,#REF!,4,FALSE),"")</f>
        <v/>
      </c>
      <c r="P81" s="371">
        <f>IFERROR(VLOOKUP(L81,'EBM00231'!$B:$F,4,),)</f>
        <v>0</v>
      </c>
      <c r="R81" s="131"/>
      <c r="S81" s="131"/>
      <c r="U81" s="84">
        <f t="shared" si="3"/>
        <v>0</v>
      </c>
      <c r="V81" s="84"/>
      <c r="W81" s="82"/>
      <c r="X81" s="19"/>
    </row>
    <row r="82" spans="2:24" s="3" customFormat="1" ht="8.25" customHeight="1" x14ac:dyDescent="0.25">
      <c r="C82" s="60"/>
      <c r="K82" s="131"/>
      <c r="L82" s="80"/>
      <c r="M82" s="144"/>
      <c r="N82" s="80"/>
      <c r="O82" s="144"/>
      <c r="P82" s="50"/>
      <c r="R82" s="131"/>
      <c r="S82" s="131"/>
      <c r="U82" s="84">
        <f t="shared" si="3"/>
        <v>0</v>
      </c>
      <c r="V82" s="84"/>
      <c r="W82" s="82"/>
      <c r="X82" s="19"/>
    </row>
    <row r="83" spans="2:24" s="3" customFormat="1" x14ac:dyDescent="0.25">
      <c r="C83" s="145" t="s">
        <v>538</v>
      </c>
      <c r="E83" s="387" t="s">
        <v>251</v>
      </c>
      <c r="F83" s="388"/>
      <c r="G83" s="388"/>
      <c r="H83" s="388"/>
      <c r="I83" s="389"/>
      <c r="J83" s="79">
        <f>VLOOKUP(E83,'EBM00231'!C108:K109,9,FALSE)</f>
        <v>10</v>
      </c>
      <c r="K83" s="176"/>
      <c r="L83" s="30">
        <f>IF(INDEX('EBM00231'!B:B,MATCH(E83,'EBM00231'!C:C,0))=0,"",INDEX('EBM00231'!B:B,MATCH(E83,'EBM00231'!C:C,0)))</f>
        <v>9990544</v>
      </c>
      <c r="M83" s="147"/>
      <c r="N83" s="30">
        <f>VLOOKUP(L83,'EBM00231'!B:F,3,FALSE)</f>
        <v>1</v>
      </c>
      <c r="O83" s="144"/>
      <c r="P83" s="371">
        <f>IFERROR(VLOOKUP(L83,'EBM00231'!$B:$F,4,),)</f>
        <v>0</v>
      </c>
      <c r="R83" s="134"/>
      <c r="S83" s="7"/>
      <c r="U83" s="84">
        <f t="shared" si="3"/>
        <v>0</v>
      </c>
      <c r="V83" s="84"/>
      <c r="W83" s="82"/>
      <c r="X83" s="19"/>
    </row>
    <row r="84" spans="2:24" s="3" customFormat="1" x14ac:dyDescent="0.25">
      <c r="C84" s="60"/>
      <c r="E84" s="392" t="str">
        <f>'EBM00231'!C114</f>
        <v>BIOS PC³ (R1.19.0) WIN10 D3402-B2</v>
      </c>
      <c r="F84" s="392"/>
      <c r="G84" s="392"/>
      <c r="H84" s="392"/>
      <c r="I84" s="392"/>
      <c r="J84" s="95"/>
      <c r="K84" s="176"/>
      <c r="L84" s="96" t="str">
        <f>IFERROR(IF(INDEX('EBM00231'!B:B,MATCH(E84,'EBM00231'!C:C,0))=0,"",INDEX('EBM00231'!B:B,MATCH(E84,'EBM00231'!C:C,0))),"")</f>
        <v>8120068M</v>
      </c>
      <c r="M84" s="144"/>
      <c r="N84" s="141">
        <f>VLOOKUP(L84,'EBM00231'!B:F,3,FALSE)</f>
        <v>1</v>
      </c>
      <c r="O84" s="144"/>
      <c r="P84" s="371">
        <f>IFERROR(VLOOKUP(L84,'EBM00231'!$B:$F,4,),)</f>
        <v>0</v>
      </c>
      <c r="R84" s="134"/>
      <c r="S84" s="7"/>
      <c r="U84" s="84">
        <f t="shared" si="3"/>
        <v>0</v>
      </c>
      <c r="V84" s="84"/>
      <c r="W84" s="82"/>
      <c r="X84" s="19"/>
    </row>
    <row r="85" spans="2:24" s="3" customFormat="1" x14ac:dyDescent="0.25">
      <c r="C85" s="60"/>
      <c r="E85" s="3" t="str">
        <f>IF(E83="---",'EBM00231'!C111,'EBM00231'!C110)</f>
        <v>T MS Windows 10 Pro. Liz. OA3.0 OEM</v>
      </c>
      <c r="K85" s="131"/>
      <c r="L85" s="96">
        <f>IFERROR(IF(INDEX('EBM00231'!B:B,MATCH(E85,'EBM00231'!C:C,0))=0,"",INDEX('EBM00231'!B:B,MATCH(E85,'EBM00231'!C:C,0))),"")</f>
        <v>6506327</v>
      </c>
      <c r="M85" s="144"/>
      <c r="N85" s="30">
        <f>VLOOKUP(L85,'EBM00231'!B:F,3,FALSE)</f>
        <v>1</v>
      </c>
      <c r="O85" s="144"/>
      <c r="P85" s="371">
        <f>IFERROR(VLOOKUP(L85,'EBM00231'!$B:$F,4,),)</f>
        <v>123.45679012345678</v>
      </c>
      <c r="R85" s="134"/>
      <c r="S85" s="7"/>
      <c r="U85" s="84">
        <f t="shared" si="3"/>
        <v>123.45679012345678</v>
      </c>
      <c r="V85" s="84"/>
      <c r="W85" s="82"/>
      <c r="X85" s="19"/>
    </row>
    <row r="86" spans="2:24" s="3" customFormat="1" x14ac:dyDescent="0.25">
      <c r="C86" s="60"/>
      <c r="K86" s="131"/>
      <c r="L86" s="96"/>
      <c r="M86" s="144"/>
      <c r="N86" s="30"/>
      <c r="O86" s="144"/>
      <c r="P86" s="371"/>
      <c r="R86" s="134"/>
      <c r="S86" s="7"/>
      <c r="U86" s="84">
        <f t="shared" si="3"/>
        <v>0</v>
      </c>
      <c r="V86" s="84"/>
      <c r="W86" s="82"/>
      <c r="X86" s="19"/>
    </row>
    <row r="87" spans="2:24" s="3" customFormat="1" ht="4.5" customHeight="1" x14ac:dyDescent="0.25">
      <c r="C87" s="60"/>
      <c r="E87" s="60"/>
      <c r="F87" s="60"/>
      <c r="G87" s="60"/>
      <c r="H87" s="60"/>
      <c r="I87" s="60"/>
      <c r="K87" s="131"/>
      <c r="L87" s="80"/>
      <c r="M87" s="147"/>
      <c r="N87" s="80"/>
      <c r="O87" s="144"/>
      <c r="P87" s="371"/>
      <c r="R87" s="134"/>
      <c r="S87" s="7"/>
      <c r="U87" s="84">
        <f t="shared" si="3"/>
        <v>0</v>
      </c>
      <c r="V87" s="84"/>
      <c r="W87" s="82"/>
      <c r="X87" s="19"/>
    </row>
    <row r="88" spans="2:24" x14ac:dyDescent="0.25">
      <c r="B88" s="135" t="s">
        <v>539</v>
      </c>
      <c r="C88" s="12"/>
      <c r="U88" s="84">
        <f t="shared" si="3"/>
        <v>0</v>
      </c>
      <c r="V88" s="84"/>
    </row>
    <row r="89" spans="2:24" x14ac:dyDescent="0.25">
      <c r="B89" s="153" t="s">
        <v>540</v>
      </c>
      <c r="C89" s="12"/>
      <c r="U89" s="84">
        <f t="shared" si="3"/>
        <v>0</v>
      </c>
      <c r="V89" s="84"/>
    </row>
    <row r="90" spans="2:24" x14ac:dyDescent="0.25">
      <c r="C90" s="12"/>
      <c r="E90" s="33" t="str">
        <f>'EBM00231'!C34</f>
        <v>Herstellanweisung MCD Medical Line PANA.ceia³</v>
      </c>
      <c r="F90" s="33"/>
      <c r="G90" s="33"/>
      <c r="H90" s="33"/>
      <c r="I90" s="33"/>
      <c r="J90" s="33"/>
      <c r="K90" s="142"/>
      <c r="L90" s="30" t="str">
        <f>IF(INDEX('EBM00231'!B:B,MATCH(E90,'EBM00231'!C:C,0))=0,"",INDEX('EBM00231'!B:B,MATCH(E90,'EBM00231'!C:C,0)))</f>
        <v>PMI00177_H</v>
      </c>
      <c r="N90" s="30" t="str">
        <f>VLOOKUP(L90,'EBM00231'!B:F,3,FALSE)</f>
        <v>---</v>
      </c>
      <c r="P90" s="373"/>
      <c r="Q90" s="1"/>
      <c r="R90" s="130"/>
      <c r="S90" s="130"/>
      <c r="U90" s="84"/>
      <c r="V90" s="84"/>
    </row>
    <row r="91" spans="2:24" x14ac:dyDescent="0.25">
      <c r="C91" s="12"/>
      <c r="E91" s="33" t="str">
        <f>'EBM00231'!C35</f>
        <v>DHR MCD Medical Line PANA.ceia³</v>
      </c>
      <c r="F91" s="33"/>
      <c r="G91" s="33"/>
      <c r="H91" s="33"/>
      <c r="I91" s="33"/>
      <c r="J91" s="33"/>
      <c r="K91" s="142"/>
      <c r="L91" s="30" t="str">
        <f>IF(INDEX('EBM00231'!B:B,MATCH(E91,'EBM00231'!C:C,0))=0,"",INDEX('EBM00231'!B:B,MATCH(E91,'EBM00231'!C:C,0)))</f>
        <v>PTR00284_D</v>
      </c>
      <c r="N91" s="30" t="str">
        <f>VLOOKUP(L91,'EBM00231'!B:F,3,FALSE)</f>
        <v>---</v>
      </c>
      <c r="P91" s="373"/>
      <c r="Q91" s="1"/>
      <c r="R91" s="130"/>
      <c r="S91" s="130"/>
      <c r="U91" s="84"/>
      <c r="V91" s="84"/>
    </row>
    <row r="92" spans="2:24" s="136" customFormat="1" x14ac:dyDescent="0.25">
      <c r="C92" s="133"/>
      <c r="E92" s="142" t="str">
        <f>'EBM00231'!C36</f>
        <v>MCD Transport- / Lagerbedingungen</v>
      </c>
      <c r="F92" s="142"/>
      <c r="G92" s="142"/>
      <c r="H92" s="142"/>
      <c r="I92" s="142"/>
      <c r="J92" s="142"/>
      <c r="K92" s="142"/>
      <c r="L92" s="141" t="str">
        <f>IF(INDEX('EBM00231'!B:B,MATCH(E92,'EBM00231'!C:C,0))=0,"",INDEX('EBM00231'!B:B,MATCH(E92,'EBM00231'!C:C,0)))</f>
        <v>BB16-0001_A</v>
      </c>
      <c r="M92" s="148"/>
      <c r="N92" s="141">
        <f>VLOOKUP(L92,'EBM00231'!B:F,3,FALSE)</f>
        <v>1</v>
      </c>
      <c r="O92" s="148"/>
      <c r="P92" s="373"/>
      <c r="Q92" s="130"/>
      <c r="R92" s="130"/>
      <c r="S92" s="130"/>
      <c r="U92" s="84"/>
      <c r="V92" s="84"/>
      <c r="W92" s="81"/>
    </row>
    <row r="93" spans="2:24" x14ac:dyDescent="0.25">
      <c r="C93" s="12"/>
      <c r="E93" s="33" t="str">
        <f>'EBM00231'!C37</f>
        <v>Ratinglabel MCD Medical Line PANA.ceia³</v>
      </c>
      <c r="F93" s="33"/>
      <c r="G93" s="33"/>
      <c r="H93" s="33"/>
      <c r="I93" s="33"/>
      <c r="J93" s="33"/>
      <c r="K93" s="142"/>
      <c r="L93" s="30" t="str">
        <f>IF(INDEX('EBM00231'!B:B,MATCH(E93,'EBM00231'!C:C,0))=0,"",INDEX('EBM00231'!B:B,MATCH(E93,'EBM00231'!C:C,0)))</f>
        <v>BB15-0045_A</v>
      </c>
      <c r="N93" s="30">
        <f>VLOOKUP(L93,'EBM00231'!B:F,3,FALSE)</f>
        <v>2</v>
      </c>
      <c r="P93" s="373"/>
      <c r="Q93" s="1"/>
      <c r="R93" s="130"/>
      <c r="S93" s="130"/>
      <c r="U93" s="84">
        <f>N93*P93</f>
        <v>0</v>
      </c>
      <c r="V93" s="84"/>
    </row>
    <row r="94" spans="2:24" x14ac:dyDescent="0.25">
      <c r="C94" s="12"/>
      <c r="E94" s="33" t="str">
        <f>'EBM00231'!C38</f>
        <v>Prüfanweisung MCD Medical Line PANA.ceia³</v>
      </c>
      <c r="F94" s="33"/>
      <c r="G94" s="33"/>
      <c r="H94" s="33"/>
      <c r="I94" s="33"/>
      <c r="J94" s="33"/>
      <c r="K94" s="142"/>
      <c r="L94" s="30" t="str">
        <f>IF(INDEX('EBM00231'!B:B,MATCH(E94,'EBM00231'!C:C,0))=0,"",INDEX('EBM00231'!B:B,MATCH(E94,'EBM00231'!C:C,0)))</f>
        <v>PTI00197_G</v>
      </c>
      <c r="N94" s="30" t="str">
        <f>VLOOKUP(L94,'EBM00231'!B:F,3,FALSE)</f>
        <v>---</v>
      </c>
      <c r="P94" s="373"/>
      <c r="Q94" s="1"/>
      <c r="R94" s="130"/>
      <c r="S94" s="130"/>
      <c r="U94" s="84"/>
      <c r="V94" s="84"/>
    </row>
    <row r="95" spans="2:24" x14ac:dyDescent="0.25">
      <c r="C95" s="12"/>
      <c r="E95" s="33" t="str">
        <f>'EBM00231'!C39</f>
        <v>Verpackungsanweisung MCD Medical Line PANA.ceia³</v>
      </c>
      <c r="F95" s="33"/>
      <c r="G95" s="33"/>
      <c r="H95" s="33"/>
      <c r="I95" s="33"/>
      <c r="J95" s="33"/>
      <c r="K95" s="142"/>
      <c r="L95" s="30" t="str">
        <f>IF(INDEX('EBM00231'!B:B,MATCH(E95,'EBM00231'!C:C,0))=0,"",INDEX('EBM00231'!B:B,MATCH(E95,'EBM00231'!C:C,0)))</f>
        <v>PPI00192_F</v>
      </c>
      <c r="N95" s="30" t="str">
        <f>VLOOKUP(L95,'EBM00231'!B:F,3,FALSE)</f>
        <v>---</v>
      </c>
      <c r="P95" s="373"/>
      <c r="Q95" s="1"/>
      <c r="R95" s="130"/>
      <c r="S95" s="130"/>
      <c r="U95" s="84"/>
      <c r="V95" s="84"/>
    </row>
    <row r="96" spans="2:24" ht="5.25" customHeight="1" x14ac:dyDescent="0.25">
      <c r="C96" s="12"/>
      <c r="E96" s="33"/>
      <c r="F96" s="33"/>
      <c r="G96" s="33"/>
      <c r="H96" s="33"/>
      <c r="I96" s="33"/>
      <c r="J96" s="33"/>
      <c r="K96" s="142"/>
      <c r="L96" s="34"/>
      <c r="N96" s="33"/>
      <c r="U96" s="84">
        <f>N96*P96</f>
        <v>0</v>
      </c>
      <c r="V96" s="84"/>
    </row>
    <row r="97" spans="2:23" ht="20.25" x14ac:dyDescent="0.25">
      <c r="B97" s="129" t="s">
        <v>541</v>
      </c>
      <c r="C97" s="133"/>
      <c r="P97" s="374"/>
      <c r="Q97" s="1"/>
      <c r="R97" s="130"/>
      <c r="S97" s="130"/>
      <c r="U97" s="84">
        <f>N97*P97</f>
        <v>0</v>
      </c>
      <c r="V97" s="84"/>
    </row>
    <row r="98" spans="2:23" ht="13.5" customHeight="1" x14ac:dyDescent="0.25">
      <c r="B98" s="136"/>
      <c r="C98" s="133"/>
      <c r="T98" s="84" t="e">
        <f>SUM(T10:T97)</f>
        <v>#VALUE!</v>
      </c>
      <c r="U98" s="84">
        <f>SUM(U10:U97)</f>
        <v>1343.8483703703705</v>
      </c>
      <c r="V98" s="84"/>
    </row>
    <row r="99" spans="2:23" x14ac:dyDescent="0.25">
      <c r="B99" s="136"/>
      <c r="C99" s="132" t="s">
        <v>542</v>
      </c>
      <c r="E99" s="387" t="s">
        <v>79</v>
      </c>
      <c r="F99" s="388"/>
      <c r="G99" s="388"/>
      <c r="H99" s="388"/>
      <c r="I99" s="389"/>
      <c r="J99" s="79"/>
      <c r="K99" s="176"/>
      <c r="L99" s="30">
        <f>IF(INDEX('EBM00231'!B:B,MATCH(E99,'EBM00231'!C:C,0))=0,"",INDEX('EBM00231'!B:B,MATCH(E99,'EBM00231'!C:C,0)))</f>
        <v>136</v>
      </c>
      <c r="M99" s="147"/>
      <c r="N99" s="30">
        <f>VLOOKUP(L99,'EBM00231'!B:F,3,FALSE)</f>
        <v>1</v>
      </c>
      <c r="R99" s="130"/>
      <c r="S99" s="7">
        <f>VLOOKUP(L99,'EBM00231'!B117:E125,4,FALSE)</f>
        <v>0</v>
      </c>
      <c r="T99" s="35" t="e">
        <f>T98*#REF!</f>
        <v>#VALUE!</v>
      </c>
      <c r="U99" s="35">
        <f>U98*S99</f>
        <v>0</v>
      </c>
      <c r="V99" s="125"/>
    </row>
    <row r="100" spans="2:23" x14ac:dyDescent="0.25">
      <c r="C100" s="12"/>
    </row>
    <row r="101" spans="2:23" ht="18" x14ac:dyDescent="0.25">
      <c r="C101" s="12"/>
      <c r="O101" s="102"/>
      <c r="P101" s="375" t="s">
        <v>16</v>
      </c>
      <c r="Q101" s="68"/>
      <c r="R101" s="68"/>
      <c r="S101" s="68"/>
      <c r="T101" s="69"/>
      <c r="U101" s="122">
        <f t="shared" ref="U101" si="4">SUM(U98:U99)</f>
        <v>1343.8483703703705</v>
      </c>
      <c r="V101" s="69"/>
    </row>
    <row r="102" spans="2:23" ht="30" customHeight="1" x14ac:dyDescent="0.25">
      <c r="B102" s="390" t="str">
        <f>IF(AND(L64='EBM00231'!B86,N68+N70+N81+N78+N66&gt;2),"PCIe Karte bzw. Parallel Port / RS232 Port entfernen! Grabber benötigt zweites Slotblech! / take out PCIe card resp. Parallel / RS232 port! Grabber needs second slot!","")</f>
        <v/>
      </c>
      <c r="C102" s="390"/>
      <c r="D102" s="390"/>
      <c r="E102" s="390"/>
      <c r="F102" s="390"/>
      <c r="G102" s="390"/>
      <c r="H102" s="390"/>
      <c r="I102" s="390"/>
      <c r="J102" s="390"/>
      <c r="K102" s="390"/>
      <c r="L102" s="390"/>
      <c r="M102" s="390"/>
      <c r="N102" s="390"/>
      <c r="O102" s="390"/>
      <c r="P102" s="390"/>
      <c r="Q102" s="390"/>
      <c r="R102" s="390"/>
      <c r="S102" s="390"/>
      <c r="U102" s="152" t="s">
        <v>545</v>
      </c>
    </row>
    <row r="103" spans="2:23" ht="32.65" customHeight="1" x14ac:dyDescent="0.25">
      <c r="B103" s="390" t="str">
        <f>IF(OR(L64='EBM00231'!B90,L66='EBM00231'!B90,L68='EBM00231'!B90,L70='EBM00231'!B90),"ACHTUNG:Beistellware des Kunden E&amp;L medical GmbH! Nicht für andere Kunden konfigurieren! / Caution: Customer property (E&amp;L medical)! Not to be used by other customers!","")</f>
        <v/>
      </c>
      <c r="C103" s="390"/>
      <c r="D103" s="390"/>
      <c r="E103" s="390"/>
      <c r="F103" s="390"/>
      <c r="G103" s="390"/>
      <c r="H103" s="390"/>
      <c r="I103" s="390"/>
      <c r="J103" s="390"/>
      <c r="K103" s="390"/>
      <c r="L103" s="390"/>
      <c r="M103" s="390"/>
      <c r="N103" s="390"/>
      <c r="O103" s="390"/>
      <c r="P103" s="390"/>
      <c r="Q103" s="390"/>
      <c r="R103" s="390"/>
      <c r="S103" s="390"/>
    </row>
    <row r="104" spans="2:23" x14ac:dyDescent="0.25">
      <c r="B104" s="390" t="str">
        <f>IF(AND(D52&lt;&gt;"RAID",N52=1),"Nicht konfigurierbar! RAID Level abwählen! / configuration not possible! De-select RAID level!","")</f>
        <v/>
      </c>
      <c r="C104" s="390"/>
      <c r="D104" s="390"/>
      <c r="E104" s="390"/>
      <c r="F104" s="390"/>
      <c r="G104" s="390"/>
      <c r="H104" s="390"/>
      <c r="I104" s="390"/>
      <c r="J104" s="390"/>
      <c r="K104" s="390"/>
      <c r="L104" s="390"/>
      <c r="M104" s="390"/>
      <c r="N104" s="390"/>
      <c r="O104" s="390"/>
      <c r="P104" s="390"/>
      <c r="Q104" s="390"/>
      <c r="R104" s="390"/>
      <c r="S104" s="390"/>
    </row>
    <row r="105" spans="2:23" ht="31.9" customHeight="1" x14ac:dyDescent="0.25">
      <c r="B105" s="390" t="str">
        <f>IF(N26&lt;0,"Nicht konfigurierbar! Auswahl an PCI Erweiterungen (inkl. RS232 / parallel Erweiterungen) muss reduziert werden! / not possible. Selection of PCI expansions (incl. RS232 /102:102parallel expansions) has to be reduced!","")</f>
        <v/>
      </c>
      <c r="C105" s="390"/>
      <c r="D105" s="390"/>
      <c r="E105" s="390"/>
      <c r="F105" s="390"/>
      <c r="G105" s="390"/>
      <c r="H105" s="390"/>
      <c r="I105" s="390"/>
      <c r="J105" s="390"/>
      <c r="K105" s="390"/>
      <c r="L105" s="390"/>
      <c r="M105" s="390"/>
      <c r="N105" s="390"/>
      <c r="O105" s="390"/>
      <c r="P105" s="390"/>
      <c r="Q105" s="390"/>
      <c r="R105" s="390"/>
      <c r="S105" s="390"/>
    </row>
    <row r="106" spans="2:23" s="136" customFormat="1" x14ac:dyDescent="0.25">
      <c r="B106" s="391" t="str">
        <f>IF(AND(K47="JA",K50="JA"),"Betriebssystem kann nur auf einem Datenräger installiert werden / OS can only be installed on one drive!","")</f>
        <v/>
      </c>
      <c r="C106" s="391"/>
      <c r="D106" s="391"/>
      <c r="E106" s="391"/>
      <c r="F106" s="391"/>
      <c r="G106" s="391"/>
      <c r="H106" s="391"/>
      <c r="I106" s="391"/>
      <c r="J106" s="391"/>
      <c r="K106" s="391"/>
      <c r="L106" s="391"/>
      <c r="M106" s="391"/>
      <c r="N106" s="391"/>
      <c r="O106" s="391"/>
      <c r="P106" s="391"/>
      <c r="Q106" s="391"/>
      <c r="R106" s="391"/>
      <c r="S106" s="391"/>
      <c r="W106" s="81"/>
    </row>
    <row r="107" spans="2:23" s="136" customFormat="1" x14ac:dyDescent="0.25">
      <c r="B107" s="390" t="str">
        <f>IF(AND(E50="---",K50="JA",E47&lt;&gt;"---"),"Auswahl des Datenträgers korrigieren, auf dem O/S installiert werden soll! / correct selection of data storage, to which O/S shall be installed!","")</f>
        <v/>
      </c>
      <c r="C107" s="390"/>
      <c r="D107" s="390"/>
      <c r="E107" s="390"/>
      <c r="F107" s="390"/>
      <c r="G107" s="390"/>
      <c r="H107" s="390"/>
      <c r="I107" s="390"/>
      <c r="J107" s="390"/>
      <c r="K107" s="390"/>
      <c r="L107" s="390"/>
      <c r="M107" s="390"/>
      <c r="N107" s="390"/>
      <c r="O107" s="390"/>
      <c r="P107" s="390"/>
      <c r="Q107" s="390"/>
      <c r="R107" s="390"/>
      <c r="S107" s="390"/>
      <c r="W107" s="81"/>
    </row>
    <row r="108" spans="2:23" s="136" customFormat="1" x14ac:dyDescent="0.25">
      <c r="B108" s="390" t="str">
        <f>IF(AND(OR(L83=9990415,L83=9990544),J47="0",J50="0"),"Datenträger für Betriebssstem-Installation auswählen / Choose drive for OS installation !","")</f>
        <v/>
      </c>
      <c r="C108" s="390"/>
      <c r="D108" s="390"/>
      <c r="E108" s="390"/>
      <c r="F108" s="390"/>
      <c r="G108" s="390"/>
      <c r="H108" s="390"/>
      <c r="I108" s="390"/>
      <c r="J108" s="390"/>
      <c r="K108" s="390"/>
      <c r="L108" s="390"/>
      <c r="M108" s="390"/>
      <c r="N108" s="390"/>
      <c r="O108" s="390"/>
      <c r="P108" s="390"/>
      <c r="Q108" s="390"/>
      <c r="R108" s="390"/>
      <c r="S108" s="390"/>
      <c r="W108" s="81"/>
    </row>
    <row r="109" spans="2:23" s="136" customFormat="1" x14ac:dyDescent="0.25">
      <c r="B109" s="386" t="str">
        <f>IF(MAX(Sonstiges!B8:B23)&gt;0,"Achtung! Freie Kalkulation erstellt","")</f>
        <v/>
      </c>
      <c r="C109" s="386"/>
      <c r="D109" s="386"/>
      <c r="E109" s="386"/>
      <c r="F109" s="386"/>
      <c r="G109" s="386"/>
      <c r="H109" s="386"/>
      <c r="I109" s="386"/>
      <c r="J109" s="386"/>
      <c r="K109" s="386"/>
      <c r="L109" s="386"/>
      <c r="M109" s="386"/>
      <c r="N109" s="386"/>
      <c r="O109" s="386"/>
      <c r="P109" s="386"/>
      <c r="Q109" s="386"/>
      <c r="R109" s="386"/>
      <c r="S109" s="386"/>
      <c r="W109" s="81"/>
    </row>
    <row r="110" spans="2:23" ht="35.1" customHeight="1" x14ac:dyDescent="0.25">
      <c r="B110" s="382" t="s">
        <v>19</v>
      </c>
      <c r="C110" s="382"/>
      <c r="D110" s="383" t="s">
        <v>21</v>
      </c>
      <c r="E110" s="383"/>
      <c r="F110" s="383"/>
      <c r="G110" s="383"/>
      <c r="H110" s="384" t="s">
        <v>22</v>
      </c>
      <c r="I110" s="384"/>
      <c r="J110" s="384"/>
      <c r="K110" s="384"/>
      <c r="L110" s="384"/>
      <c r="M110" s="384"/>
      <c r="N110" s="384"/>
      <c r="O110" s="384"/>
      <c r="P110" s="384" t="s">
        <v>23</v>
      </c>
      <c r="Q110" s="384"/>
      <c r="R110" s="384"/>
      <c r="S110" s="384"/>
    </row>
    <row r="111" spans="2:23" ht="35.1" customHeight="1" x14ac:dyDescent="0.25">
      <c r="B111" s="378" t="s">
        <v>20</v>
      </c>
      <c r="C111" s="378"/>
      <c r="D111" s="385"/>
      <c r="E111" s="385"/>
      <c r="F111" s="385"/>
      <c r="G111" s="385"/>
      <c r="H111" s="380"/>
      <c r="I111" s="380"/>
      <c r="J111" s="380"/>
      <c r="K111" s="380"/>
      <c r="L111" s="380"/>
      <c r="M111" s="380"/>
      <c r="N111" s="380"/>
      <c r="O111" s="380"/>
      <c r="P111" s="381"/>
      <c r="Q111" s="381"/>
      <c r="R111" s="381"/>
      <c r="S111" s="381"/>
    </row>
    <row r="112" spans="2:23" ht="35.1" customHeight="1" x14ac:dyDescent="0.25">
      <c r="B112" s="378" t="s">
        <v>34</v>
      </c>
      <c r="C112" s="378"/>
      <c r="D112" s="379" t="str">
        <f>IF(OR(B108&lt;&gt;"",B103&lt;&gt;"",B104&lt;&gt;"",B105&lt;&gt;"",B106&lt;&gt;"",B107&lt;&gt;""),"nicht möglich","")</f>
        <v/>
      </c>
      <c r="E112" s="379"/>
      <c r="F112" s="379"/>
      <c r="G112" s="379"/>
      <c r="H112" s="380"/>
      <c r="I112" s="380"/>
      <c r="J112" s="380"/>
      <c r="K112" s="380"/>
      <c r="L112" s="380"/>
      <c r="M112" s="380"/>
      <c r="N112" s="380"/>
      <c r="O112" s="380"/>
      <c r="P112" s="381"/>
      <c r="Q112" s="381"/>
      <c r="R112" s="381"/>
      <c r="S112" s="381"/>
    </row>
    <row r="113" spans="1:20" x14ac:dyDescent="0.25">
      <c r="A113" s="148" t="s">
        <v>701</v>
      </c>
      <c r="B113" s="148" t="s">
        <v>689</v>
      </c>
    </row>
    <row r="114" spans="1:20" ht="55.5" customHeight="1" x14ac:dyDescent="0.25">
      <c r="B114" s="11" t="str">
        <f ca="1">MID(CELL("Dateiname",$A$1),FIND("]",CELL("Dateiname",$A$1))+1,31)</f>
        <v>PC³</v>
      </c>
      <c r="D114" s="3"/>
      <c r="Q114" s="18"/>
      <c r="R114" s="137" t="s">
        <v>523</v>
      </c>
      <c r="S114" s="136"/>
      <c r="T114" s="192"/>
    </row>
    <row r="115" spans="1:20" ht="5.25" customHeight="1" x14ac:dyDescent="0.25"/>
  </sheetData>
  <sheetProtection algorithmName="SHA-512" hashValue="yYjD9cj0bf2/dJ69tjovr4osgJ/GpV0o/HMeCU4WxJm+X8g+t63eNd7syNFKd1yFCErl6EpiVdK4iU5LtliT+A==" saltValue="Ok8F24jJsWNHJzNwtYLm5A==" spinCount="100000" sheet="1" objects="1" scenarios="1" selectLockedCells="1"/>
  <dataConsolidate/>
  <mergeCells count="41">
    <mergeCell ref="P111:S111"/>
    <mergeCell ref="B112:C112"/>
    <mergeCell ref="D112:G112"/>
    <mergeCell ref="H112:O112"/>
    <mergeCell ref="P112:S112"/>
    <mergeCell ref="G3:L3"/>
    <mergeCell ref="G2:L2"/>
    <mergeCell ref="B111:C111"/>
    <mergeCell ref="D111:G111"/>
    <mergeCell ref="H111:O111"/>
    <mergeCell ref="B105:S105"/>
    <mergeCell ref="B110:C110"/>
    <mergeCell ref="D110:G110"/>
    <mergeCell ref="H110:O110"/>
    <mergeCell ref="P110:S110"/>
    <mergeCell ref="B104:S104"/>
    <mergeCell ref="B103:S103"/>
    <mergeCell ref="B102:S102"/>
    <mergeCell ref="B109:S109"/>
    <mergeCell ref="B106:S106"/>
    <mergeCell ref="B108:S108"/>
    <mergeCell ref="B107:S107"/>
    <mergeCell ref="E60:I60"/>
    <mergeCell ref="E64:I64"/>
    <mergeCell ref="E66:I66"/>
    <mergeCell ref="E68:I68"/>
    <mergeCell ref="E70:I70"/>
    <mergeCell ref="E72:I72"/>
    <mergeCell ref="E83:I83"/>
    <mergeCell ref="E99:I99"/>
    <mergeCell ref="E77:I77"/>
    <mergeCell ref="E80:I80"/>
    <mergeCell ref="E84:I84"/>
    <mergeCell ref="E52:I52"/>
    <mergeCell ref="B5:S5"/>
    <mergeCell ref="E41:I41"/>
    <mergeCell ref="E44:I44"/>
    <mergeCell ref="E47:I47"/>
    <mergeCell ref="E50:I50"/>
    <mergeCell ref="E46:I46"/>
    <mergeCell ref="E49:I49"/>
  </mergeCells>
  <conditionalFormatting sqref="W47:W48 A63:K63 T63 W63 R14 Y63:XFD63 Y47:XFD48 R10 J47 R6 O48 Q47:Q48 R41 R63 J51:K55 AA50:XFD59 T47:T48 A51:D59 R53:R55 M47:M48 R71:R82 A47:B48 D50 D47 D48:K48 T10:V10 T98:V98 A50:B50 M50:M52 Q50:Q52 O51:O52 J50 R17:R38 U11:V97 R59 J59:K59 R43:R46 T50:T59">
    <cfRule type="expression" dxfId="608" priority="287">
      <formula>CELL("Schutz",A6)=0</formula>
    </cfRule>
  </conditionalFormatting>
  <conditionalFormatting sqref="N97:S98 O99 Q99:S99">
    <cfRule type="expression" dxfId="607" priority="286">
      <formula>CELL("Schutz",N97)=0</formula>
    </cfRule>
  </conditionalFormatting>
  <conditionalFormatting sqref="A38:K38 Q38 O38 M38 O63 X83:X85 O53 M53:M55 L63:M63 L76 L71 L69 L65 L67 L50:L52 L47:L48 F20:I37 L10:L41 M59 O59 L43:L45 S8:T8 T99:V99">
    <cfRule type="expression" dxfId="606" priority="285">
      <formula>CELL("Schutz",A8)=0</formula>
    </cfRule>
  </conditionalFormatting>
  <conditionalFormatting sqref="W10 T14:T18 Y14:XFD16 Y10:XFD10 W14:W16">
    <cfRule type="expression" dxfId="605" priority="284">
      <formula>CELL("Schutz",T10)=0</formula>
    </cfRule>
  </conditionalFormatting>
  <conditionalFormatting sqref="F14:I16">
    <cfRule type="expression" dxfId="604" priority="283">
      <formula>CELL("Schutz",F14)=0</formula>
    </cfRule>
  </conditionalFormatting>
  <conditionalFormatting sqref="F17:I18">
    <cfRule type="expression" dxfId="603" priority="282">
      <formula>CELL("Schutz",F17)=0</formula>
    </cfRule>
  </conditionalFormatting>
  <conditionalFormatting sqref="F19:I19">
    <cfRule type="expression" dxfId="602" priority="281">
      <formula>CELL("Schutz",F19)=0</formula>
    </cfRule>
  </conditionalFormatting>
  <conditionalFormatting sqref="T7 A8:Q8 D7:K7 W7:XFD8">
    <cfRule type="expression" dxfId="601" priority="279">
      <formula>CELL("Schutz",A7)=0</formula>
    </cfRule>
  </conditionalFormatting>
  <conditionalFormatting sqref="R8">
    <cfRule type="expression" dxfId="600" priority="278">
      <formula>CELL("Schutz",R8)=0</formula>
    </cfRule>
  </conditionalFormatting>
  <conditionalFormatting sqref="R7">
    <cfRule type="expression" dxfId="599" priority="276">
      <formula>CELL("Schutz",R7)=0</formula>
    </cfRule>
  </conditionalFormatting>
  <conditionalFormatting sqref="S7 L7:M7 P7:Q7">
    <cfRule type="expression" dxfId="598" priority="277">
      <formula>CELL("Schutz",L7)=0</formula>
    </cfRule>
  </conditionalFormatting>
  <conditionalFormatting sqref="C44:C46">
    <cfRule type="expression" dxfId="597" priority="275">
      <formula>CELL("Schutz",C44)=0</formula>
    </cfRule>
  </conditionalFormatting>
  <conditionalFormatting sqref="O65 O67 M64:M70 O69">
    <cfRule type="expression" dxfId="596" priority="274">
      <formula>CELL("Schutz",M64)=0</formula>
    </cfRule>
  </conditionalFormatting>
  <conditionalFormatting sqref="R64:R65 R67:R69">
    <cfRule type="expression" dxfId="595" priority="273">
      <formula>CELL("Schutz",R64)=0</formula>
    </cfRule>
  </conditionalFormatting>
  <conditionalFormatting sqref="W40 M39 AA39:XFD39 A39 J39:K39 Y40:XFD40 Q39 S39:T40 O39 C39:D39">
    <cfRule type="expression" dxfId="594" priority="269">
      <formula>CELL("Schutz",A39)=0</formula>
    </cfRule>
  </conditionalFormatting>
  <conditionalFormatting sqref="R39:R40">
    <cfRule type="expression" dxfId="593" priority="268">
      <formula>CELL("Schutz",R39)=0</formula>
    </cfRule>
  </conditionalFormatting>
  <conditionalFormatting sqref="A40:K40 Q40 O40 M40">
    <cfRule type="expression" dxfId="592" priority="267">
      <formula>CELL("Schutz",A40)=0</formula>
    </cfRule>
  </conditionalFormatting>
  <conditionalFormatting sqref="B5:S5">
    <cfRule type="expression" dxfId="591" priority="264">
      <formula>CELL("Schutz",B5)=0</formula>
    </cfRule>
  </conditionalFormatting>
  <conditionalFormatting sqref="S15:S16 M15:M16 Q15:Q16 O15:O16">
    <cfRule type="expression" dxfId="590" priority="261">
      <formula>CELL("Schutz",M15)=0</formula>
    </cfRule>
  </conditionalFormatting>
  <conditionalFormatting sqref="R15:R16">
    <cfRule type="expression" dxfId="589" priority="260">
      <formula>CELL("Schutz",R15)=0</formula>
    </cfRule>
  </conditionalFormatting>
  <conditionalFormatting sqref="A83:B83 J83:K83 Y83:XFD83 T83 D83 W83">
    <cfRule type="expression" dxfId="588" priority="256">
      <formula>CELL("Schutz",A83)=0</formula>
    </cfRule>
  </conditionalFormatting>
  <conditionalFormatting sqref="E51:I51">
    <cfRule type="expression" dxfId="587" priority="245">
      <formula>CELL("Schutz",E51)=0</formula>
    </cfRule>
  </conditionalFormatting>
  <conditionalFormatting sqref="T93:T94 A93:D94 F93:K93 W93:XFD94">
    <cfRule type="expression" dxfId="586" priority="244">
      <formula>CELL("Schutz",A93)=0</formula>
    </cfRule>
  </conditionalFormatting>
  <conditionalFormatting sqref="T91:T92 A91:D92 F91:K92 W91:XFD92">
    <cfRule type="expression" dxfId="585" priority="242">
      <formula>CELL("Schutz",A91)=0</formula>
    </cfRule>
  </conditionalFormatting>
  <conditionalFormatting sqref="T90 A90:K90 W90:XFD90 E91:E95">
    <cfRule type="expression" dxfId="584" priority="240">
      <formula>CELL("Schutz",A90)=0</formula>
    </cfRule>
  </conditionalFormatting>
  <conditionalFormatting sqref="C72">
    <cfRule type="expression" dxfId="583" priority="226">
      <formula>CELL("Schutz",C72)=0</formula>
    </cfRule>
  </conditionalFormatting>
  <conditionalFormatting sqref="C71">
    <cfRule type="expression" dxfId="582" priority="227">
      <formula>CELL("Schutz",C71)=0</formula>
    </cfRule>
  </conditionalFormatting>
  <conditionalFormatting sqref="J77:L77">
    <cfRule type="expression" dxfId="581" priority="216">
      <formula>$N$77=0</formula>
    </cfRule>
  </conditionalFormatting>
  <conditionalFormatting sqref="N77">
    <cfRule type="cellIs" dxfId="580" priority="214" operator="equal">
      <formula>0</formula>
    </cfRule>
  </conditionalFormatting>
  <conditionalFormatting sqref="P77">
    <cfRule type="expression" dxfId="579" priority="204">
      <formula>$N$77=0</formula>
    </cfRule>
  </conditionalFormatting>
  <conditionalFormatting sqref="P79:P80">
    <cfRule type="expression" dxfId="578" priority="203">
      <formula>$N$78=0</formula>
    </cfRule>
  </conditionalFormatting>
  <conditionalFormatting sqref="E73:E75">
    <cfRule type="containsText" dxfId="577" priority="202" operator="containsText" text="&quot;---&quot;">
      <formula>NOT(ISERROR(SEARCH("""---""",E73)))</formula>
    </cfRule>
  </conditionalFormatting>
  <conditionalFormatting sqref="E73:E75 P72:S72">
    <cfRule type="expression" dxfId="576" priority="198">
      <formula>$E$72="---"</formula>
    </cfRule>
  </conditionalFormatting>
  <conditionalFormatting sqref="L52:M52">
    <cfRule type="expression" dxfId="575" priority="194">
      <formula>$C$52=""</formula>
    </cfRule>
  </conditionalFormatting>
  <conditionalFormatting sqref="W60:W62 Y60:XFD62 A60:D62 J60:K60 M60 T60:T62 M62 O62 J62:K62">
    <cfRule type="expression" dxfId="574" priority="191">
      <formula>CELL("Schutz",A60)=0</formula>
    </cfRule>
  </conditionalFormatting>
  <conditionalFormatting sqref="T11:T12 Y11:XFD12 S11:S13 A11:B12 Q11:Q13 F11:K12 O11:O13 M11:M12 D11:D12 W11:W12">
    <cfRule type="expression" dxfId="573" priority="258">
      <formula>CELL("Schutz",#REF!)=0</formula>
    </cfRule>
  </conditionalFormatting>
  <conditionalFormatting sqref="R11:R13">
    <cfRule type="expression" dxfId="572" priority="257">
      <formula>CELL("Schutz",#REF!)=0</formula>
    </cfRule>
  </conditionalFormatting>
  <conditionalFormatting sqref="T13 A13:D13 M13 Y13:XFD13 F13:K13 W13">
    <cfRule type="expression" dxfId="571" priority="288">
      <formula>CELL("Schutz",#REF!)=0</formula>
    </cfRule>
  </conditionalFormatting>
  <conditionalFormatting sqref="L78">
    <cfRule type="expression" dxfId="570" priority="186">
      <formula>$E$77="Nein"</formula>
    </cfRule>
    <cfRule type="expression" dxfId="569" priority="187">
      <formula>CELL("Schutz",L78)=0</formula>
    </cfRule>
  </conditionalFormatting>
  <conditionalFormatting sqref="E78">
    <cfRule type="expression" dxfId="568" priority="185">
      <formula>$E$77="Nein"</formula>
    </cfRule>
  </conditionalFormatting>
  <conditionalFormatting sqref="N78">
    <cfRule type="cellIs" dxfId="567" priority="184" operator="equal">
      <formula>0</formula>
    </cfRule>
  </conditionalFormatting>
  <conditionalFormatting sqref="P78:S78">
    <cfRule type="expression" dxfId="566" priority="178">
      <formula>$E$77="Nein"</formula>
    </cfRule>
  </conditionalFormatting>
  <conditionalFormatting sqref="N81">
    <cfRule type="cellIs" dxfId="565" priority="180" operator="equal">
      <formula>0</formula>
    </cfRule>
  </conditionalFormatting>
  <conditionalFormatting sqref="L81:N81 P81:S81">
    <cfRule type="expression" dxfId="564" priority="179">
      <formula>$E$80="Nein"</formula>
    </cfRule>
  </conditionalFormatting>
  <conditionalFormatting sqref="E81">
    <cfRule type="expression" dxfId="563" priority="161">
      <formula>$E$80="Nein"</formula>
    </cfRule>
  </conditionalFormatting>
  <conditionalFormatting sqref="N41">
    <cfRule type="cellIs" dxfId="562" priority="141" operator="equal">
      <formula>0</formula>
    </cfRule>
  </conditionalFormatting>
  <conditionalFormatting sqref="N47">
    <cfRule type="cellIs" dxfId="561" priority="140" operator="equal">
      <formula>0</formula>
    </cfRule>
  </conditionalFormatting>
  <conditionalFormatting sqref="N50">
    <cfRule type="cellIs" dxfId="560" priority="139" operator="equal">
      <formula>0</formula>
    </cfRule>
  </conditionalFormatting>
  <conditionalFormatting sqref="N52">
    <cfRule type="cellIs" dxfId="559" priority="138" operator="equal">
      <formula>0</formula>
    </cfRule>
  </conditionalFormatting>
  <conditionalFormatting sqref="L53:L55">
    <cfRule type="expression" dxfId="558" priority="136">
      <formula>CELL("Schutz",L53)=0</formula>
    </cfRule>
  </conditionalFormatting>
  <conditionalFormatting sqref="E54:L54 F55:L55 P54:S55">
    <cfRule type="expression" dxfId="557" priority="135">
      <formula>$N$54=0</formula>
    </cfRule>
  </conditionalFormatting>
  <conditionalFormatting sqref="N54:N55">
    <cfRule type="cellIs" dxfId="556" priority="134" operator="equal">
      <formula>0</formula>
    </cfRule>
  </conditionalFormatting>
  <conditionalFormatting sqref="L60">
    <cfRule type="expression" dxfId="555" priority="133">
      <formula>CELL("Schutz",L60)=0</formula>
    </cfRule>
  </conditionalFormatting>
  <conditionalFormatting sqref="N60">
    <cfRule type="cellIs" dxfId="554" priority="132" operator="equal">
      <formula>0</formula>
    </cfRule>
  </conditionalFormatting>
  <conditionalFormatting sqref="L60:N60">
    <cfRule type="expression" dxfId="553" priority="128">
      <formula>$E$60="---"</formula>
    </cfRule>
  </conditionalFormatting>
  <conditionalFormatting sqref="L62">
    <cfRule type="expression" dxfId="552" priority="125">
      <formula>CELL("Schutz",L62)=0</formula>
    </cfRule>
  </conditionalFormatting>
  <conditionalFormatting sqref="L62">
    <cfRule type="expression" dxfId="551" priority="124">
      <formula>$E$60="---"</formula>
    </cfRule>
  </conditionalFormatting>
  <conditionalFormatting sqref="N62">
    <cfRule type="cellIs" dxfId="550" priority="121" operator="equal">
      <formula>0</formula>
    </cfRule>
  </conditionalFormatting>
  <conditionalFormatting sqref="N62">
    <cfRule type="expression" dxfId="549" priority="120">
      <formula>$E$60="---"</formula>
    </cfRule>
  </conditionalFormatting>
  <conditionalFormatting sqref="E62">
    <cfRule type="expression" dxfId="548" priority="109">
      <formula>$E$60="---"</formula>
    </cfRule>
  </conditionalFormatting>
  <conditionalFormatting sqref="L72">
    <cfRule type="expression" dxfId="547" priority="106">
      <formula>CELL("Schutz",L72)=0</formula>
    </cfRule>
  </conditionalFormatting>
  <conditionalFormatting sqref="L72:M72">
    <cfRule type="expression" dxfId="546" priority="105">
      <formula>$E$72="---"</formula>
    </cfRule>
  </conditionalFormatting>
  <conditionalFormatting sqref="L73">
    <cfRule type="expression" dxfId="545" priority="104">
      <formula>CELL("Schutz",L73)=0</formula>
    </cfRule>
  </conditionalFormatting>
  <conditionalFormatting sqref="L73">
    <cfRule type="expression" dxfId="544" priority="103">
      <formula>$E$72="---"</formula>
    </cfRule>
  </conditionalFormatting>
  <conditionalFormatting sqref="L74">
    <cfRule type="expression" dxfId="543" priority="102">
      <formula>CELL("Schutz",L74)=0</formula>
    </cfRule>
  </conditionalFormatting>
  <conditionalFormatting sqref="L74">
    <cfRule type="expression" dxfId="542" priority="101">
      <formula>$E$72="---"</formula>
    </cfRule>
  </conditionalFormatting>
  <conditionalFormatting sqref="L75">
    <cfRule type="expression" dxfId="541" priority="100">
      <formula>CELL("Schutz",L75)=0</formula>
    </cfRule>
  </conditionalFormatting>
  <conditionalFormatting sqref="L75">
    <cfRule type="expression" dxfId="540" priority="99">
      <formula>$E$72="---"</formula>
    </cfRule>
  </conditionalFormatting>
  <conditionalFormatting sqref="P73">
    <cfRule type="expression" dxfId="539" priority="98">
      <formula>$E$72="---"</formula>
    </cfRule>
  </conditionalFormatting>
  <conditionalFormatting sqref="P74">
    <cfRule type="expression" dxfId="538" priority="97">
      <formula>$E$72="---"</formula>
    </cfRule>
  </conditionalFormatting>
  <conditionalFormatting sqref="P75">
    <cfRule type="expression" dxfId="537" priority="96">
      <formula>$E$72="---"</formula>
    </cfRule>
  </conditionalFormatting>
  <conditionalFormatting sqref="N73:N75">
    <cfRule type="expression" dxfId="536" priority="92">
      <formula>$E$72="---"</formula>
    </cfRule>
  </conditionalFormatting>
  <conditionalFormatting sqref="L70">
    <cfRule type="expression" dxfId="535" priority="91">
      <formula>CELL("Schutz",L70)=0</formula>
    </cfRule>
  </conditionalFormatting>
  <conditionalFormatting sqref="L68">
    <cfRule type="expression" dxfId="534" priority="90">
      <formula>CELL("Schutz",L68)=0</formula>
    </cfRule>
  </conditionalFormatting>
  <conditionalFormatting sqref="L68:N68 P68:S68">
    <cfRule type="expression" dxfId="533" priority="89">
      <formula>$E$68="---"</formula>
    </cfRule>
  </conditionalFormatting>
  <conditionalFormatting sqref="L70:N70 P70:S70">
    <cfRule type="expression" dxfId="532" priority="88">
      <formula>$E$70="---"</formula>
    </cfRule>
  </conditionalFormatting>
  <conditionalFormatting sqref="L64">
    <cfRule type="expression" dxfId="531" priority="87">
      <formula>CELL("Schutz",L64)=0</formula>
    </cfRule>
  </conditionalFormatting>
  <conditionalFormatting sqref="L64:N64 M65:M66 P64:S64">
    <cfRule type="expression" dxfId="530" priority="86">
      <formula>$E$64="---"</formula>
    </cfRule>
  </conditionalFormatting>
  <conditionalFormatting sqref="R66">
    <cfRule type="expression" dxfId="529" priority="85">
      <formula>CELL("Schutz",R66)=0</formula>
    </cfRule>
  </conditionalFormatting>
  <conditionalFormatting sqref="L66">
    <cfRule type="expression" dxfId="528" priority="84">
      <formula>CELL("Schutz",L66)=0</formula>
    </cfRule>
  </conditionalFormatting>
  <conditionalFormatting sqref="L66 N66 P66:S66">
    <cfRule type="expression" dxfId="527" priority="83">
      <formula>$E$66="---"</formula>
    </cfRule>
  </conditionalFormatting>
  <conditionalFormatting sqref="L83:S83 P84:P85">
    <cfRule type="expression" dxfId="526" priority="82">
      <formula>$E$83="---"</formula>
    </cfRule>
  </conditionalFormatting>
  <conditionalFormatting sqref="L62:S62 L60:N60 P60:R60">
    <cfRule type="expression" dxfId="525" priority="78">
      <formula>$E$60="---"</formula>
    </cfRule>
  </conditionalFormatting>
  <conditionalFormatting sqref="N20">
    <cfRule type="expression" dxfId="524" priority="67">
      <formula>$N$20&lt;&gt;1</formula>
    </cfRule>
  </conditionalFormatting>
  <conditionalFormatting sqref="N21">
    <cfRule type="expression" dxfId="523" priority="66">
      <formula>$N$21&lt;&gt;1</formula>
    </cfRule>
  </conditionalFormatting>
  <conditionalFormatting sqref="N22">
    <cfRule type="expression" dxfId="522" priority="65">
      <formula>$N$22&lt;&gt;1</formula>
    </cfRule>
  </conditionalFormatting>
  <conditionalFormatting sqref="N23">
    <cfRule type="expression" dxfId="521" priority="64">
      <formula>$N$23&lt;&gt;1</formula>
    </cfRule>
  </conditionalFormatting>
  <conditionalFormatting sqref="N26">
    <cfRule type="expression" dxfId="520" priority="63">
      <formula>$N$26&lt;&gt;4</formula>
    </cfRule>
  </conditionalFormatting>
  <conditionalFormatting sqref="R84:R86">
    <cfRule type="expression" dxfId="519" priority="48">
      <formula>CELL("Schutz",R84)=0</formula>
    </cfRule>
  </conditionalFormatting>
  <conditionalFormatting sqref="L85:L86">
    <cfRule type="expression" dxfId="518" priority="47">
      <formula>CELL("Schutz",L85)=0</formula>
    </cfRule>
  </conditionalFormatting>
  <conditionalFormatting sqref="L84">
    <cfRule type="expression" dxfId="517" priority="45">
      <formula>CELL("Schutz",L84)=0</formula>
    </cfRule>
  </conditionalFormatting>
  <conditionalFormatting sqref="P86:S86 Q84:S85">
    <cfRule type="cellIs" dxfId="516" priority="44" operator="equal">
      <formula>0</formula>
    </cfRule>
  </conditionalFormatting>
  <conditionalFormatting sqref="E85:E86">
    <cfRule type="cellIs" dxfId="515" priority="43" operator="equal">
      <formula>"#NV"</formula>
    </cfRule>
  </conditionalFormatting>
  <conditionalFormatting sqref="S84 Q84">
    <cfRule type="expression" dxfId="514" priority="40">
      <formula>CELL("Schutz",Q84)=0</formula>
    </cfRule>
  </conditionalFormatting>
  <conditionalFormatting sqref="R84">
    <cfRule type="expression" dxfId="513" priority="39">
      <formula>CELL("Schutz",R84)=0</formula>
    </cfRule>
  </conditionalFormatting>
  <conditionalFormatting sqref="S85 Q85">
    <cfRule type="expression" dxfId="512" priority="38">
      <formula>CELL("Schutz",Q85)=0</formula>
    </cfRule>
  </conditionalFormatting>
  <conditionalFormatting sqref="R85">
    <cfRule type="expression" dxfId="511" priority="37">
      <formula>CELL("Schutz",R85)=0</formula>
    </cfRule>
  </conditionalFormatting>
  <conditionalFormatting sqref="S86 Q86">
    <cfRule type="expression" dxfId="510" priority="36">
      <formula>CELL("Schutz",Q86)=0</formula>
    </cfRule>
  </conditionalFormatting>
  <conditionalFormatting sqref="R86">
    <cfRule type="expression" dxfId="509" priority="35">
      <formula>CELL("Schutz",R86)=0</formula>
    </cfRule>
  </conditionalFormatting>
  <conditionalFormatting sqref="N86">
    <cfRule type="expression" dxfId="508" priority="30">
      <formula>CELL("Schutz",N86)=0</formula>
    </cfRule>
  </conditionalFormatting>
  <conditionalFormatting sqref="N86">
    <cfRule type="cellIs" dxfId="507" priority="29" operator="equal">
      <formula>0</formula>
    </cfRule>
  </conditionalFormatting>
  <conditionalFormatting sqref="N7">
    <cfRule type="expression" dxfId="506" priority="28">
      <formula>CELL("Schutz",N7)=0</formula>
    </cfRule>
  </conditionalFormatting>
  <conditionalFormatting sqref="U7:V8">
    <cfRule type="expression" dxfId="505" priority="27">
      <formula>CELL("Schutz",U7)=0</formula>
    </cfRule>
  </conditionalFormatting>
  <conditionalFormatting sqref="C11:C12">
    <cfRule type="expression" dxfId="504" priority="25">
      <formula>CELL("Schutz",#REF!)=0</formula>
    </cfRule>
  </conditionalFormatting>
  <conditionalFormatting sqref="B39">
    <cfRule type="expression" dxfId="503" priority="24">
      <formula>CELL("Schutz",B39)=0</formula>
    </cfRule>
  </conditionalFormatting>
  <conditionalFormatting sqref="C47:C48 C50">
    <cfRule type="expression" dxfId="502" priority="23">
      <formula>CELL("Schutz",C47)=0</formula>
    </cfRule>
  </conditionalFormatting>
  <conditionalFormatting sqref="C83">
    <cfRule type="expression" dxfId="501" priority="22">
      <formula>CELL("Schutz",C83)=0</formula>
    </cfRule>
  </conditionalFormatting>
  <conditionalFormatting sqref="R114">
    <cfRule type="expression" dxfId="500" priority="21">
      <formula>CELL("Schutz",R114)=0</formula>
    </cfRule>
  </conditionalFormatting>
  <conditionalFormatting sqref="C49">
    <cfRule type="expression" dxfId="499" priority="18">
      <formula>CELL("Schutz",C49)=0</formula>
    </cfRule>
  </conditionalFormatting>
  <conditionalFormatting sqref="O7">
    <cfRule type="expression" dxfId="498" priority="15">
      <formula>CELL("Schutz",O7)=0</formula>
    </cfRule>
  </conditionalFormatting>
  <conditionalFormatting sqref="R47:S52">
    <cfRule type="cellIs" dxfId="497" priority="14" operator="equal">
      <formula>0</formula>
    </cfRule>
  </conditionalFormatting>
  <conditionalFormatting sqref="E55">
    <cfRule type="expression" dxfId="496" priority="13">
      <formula>$N$55=0</formula>
    </cfRule>
  </conditionalFormatting>
  <conditionalFormatting sqref="E53:S53">
    <cfRule type="expression" dxfId="495" priority="12">
      <formula>$N$53=0</formula>
    </cfRule>
  </conditionalFormatting>
  <conditionalFormatting sqref="S60">
    <cfRule type="expression" dxfId="494" priority="9">
      <formula>$N$57=0</formula>
    </cfRule>
  </conditionalFormatting>
  <conditionalFormatting sqref="E61:N61 P61:S61">
    <cfRule type="expression" dxfId="493" priority="8">
      <formula>$N$61=0</formula>
    </cfRule>
  </conditionalFormatting>
  <conditionalFormatting sqref="N56:N58">
    <cfRule type="cellIs" dxfId="492" priority="7" operator="between">
      <formula>0</formula>
      <formula>0</formula>
    </cfRule>
  </conditionalFormatting>
  <conditionalFormatting sqref="E56:L58 P56:S58">
    <cfRule type="expression" dxfId="491" priority="3">
      <formula>$N$58=0</formula>
    </cfRule>
  </conditionalFormatting>
  <conditionalFormatting sqref="E42:S42">
    <cfRule type="expression" dxfId="490" priority="1">
      <formula>$E$42="---"</formula>
    </cfRule>
  </conditionalFormatting>
  <conditionalFormatting sqref="P86">
    <cfRule type="expression" dxfId="489" priority="1022">
      <formula>#REF!=0</formula>
    </cfRule>
  </conditionalFormatting>
  <dataValidations count="5">
    <dataValidation type="list" allowBlank="1" showInputMessage="1" showErrorMessage="1" sqref="E69:I69 E67:I67">
      <formula1>$C$84:$C$86</formula1>
    </dataValidation>
    <dataValidation allowBlank="1" showInputMessage="1" showErrorMessage="1" sqref="N79:N80 N82 N77 N8:N9"/>
    <dataValidation type="list" allowBlank="1" showInputMessage="1" showErrorMessage="1" sqref="E51:I51 F53:I59">
      <formula1>#REF!</formula1>
    </dataValidation>
    <dataValidation type="list" allowBlank="1" showInputMessage="1" showErrorMessage="1" sqref="E77:I77 G3:L3">
      <formula1>$N$1:$N$2</formula1>
    </dataValidation>
    <dataValidation type="list" allowBlank="1" showInputMessage="1" showErrorMessage="1" sqref="E68:I68">
      <formula1>$C$89:$C$92</formula1>
    </dataValidation>
  </dataValidations>
  <hyperlinks>
    <hyperlink ref="B2" location="Übersicht!A1" display="Home"/>
  </hyperlinks>
  <pageMargins left="0.11811023622047244" right="0.11811023622047244" top="0.74803149606299213" bottom="0.19685039370078741" header="0.31496062992125984" footer="0.31496062992125984"/>
  <pageSetup paperSize="9" scale="44" fitToHeight="0" orientation="portrait" horizontalDpi="4294967294" r:id="rId1"/>
  <headerFooter>
    <oddHeader>&amp;C&amp;14&amp;F</oddHeader>
  </headerFooter>
  <rowBreaks count="1" manualBreakCount="1">
    <brk id="114" max="20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7" id="{3A95CD5B-7198-4BE2-A900-F54F0F015AE0}">
            <xm:f>CELL("Schutz",TL³!R9)=0</xm:f>
            <x14:dxf>
              <font>
                <color auto="1"/>
              </font>
              <fill>
                <patternFill>
                  <bgColor theme="0" tint="-4.9989318521683403E-2"/>
                </patternFill>
              </fill>
            </x14:dxf>
          </x14:cfRule>
          <xm:sqref>R9</xm:sqref>
        </x14:conditionalFormatting>
        <x14:conditionalFormatting xmlns:xm="http://schemas.microsoft.com/office/excel/2006/main">
          <x14:cfRule type="expression" priority="16" id="{A9C3DC80-F573-422F-B328-20BD7C1CB4F3}">
            <xm:f>CELL("Schutz",TL³!A9)=0</xm:f>
            <x14:dxf>
              <fill>
                <patternFill>
                  <bgColor theme="0" tint="-4.9989318521683403E-2"/>
                </patternFill>
              </fill>
            </x14:dxf>
          </x14:cfRule>
          <xm:sqref>A9:O9 S9:V9 Q9</xm:sqref>
        </x14:conditionalFormatting>
        <x14:conditionalFormatting xmlns:xm="http://schemas.microsoft.com/office/excel/2006/main">
          <x14:cfRule type="expression" priority="992" id="{A9C3DC80-F573-422F-B328-20BD7C1CB4F3}">
            <xm:f>CELL("Schutz",TL³!U9)=0</xm:f>
            <x14:dxf>
              <fill>
                <patternFill>
                  <bgColor theme="0" tint="-4.9989318521683403E-2"/>
                </patternFill>
              </fill>
            </x14:dxf>
          </x14:cfRule>
          <xm:sqref>W9:XFD9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8">
        <x14:dataValidation type="list" allowBlank="1" showInputMessage="1" showErrorMessage="1">
          <x14:formula1>
            <xm:f>'EBM00231'!$C$89:$C$92</xm:f>
          </x14:formula1>
          <xm:sqref>E70:I70</xm:sqref>
        </x14:dataValidation>
        <x14:dataValidation type="list" allowBlank="1" showInputMessage="1" showErrorMessage="1">
          <x14:formula1>
            <xm:f>'EBM00231'!$A$56:$A$57</xm:f>
          </x14:formula1>
          <xm:sqref>K50 K47</xm:sqref>
        </x14:dataValidation>
        <x14:dataValidation type="list" allowBlank="1" showInputMessage="1" showErrorMessage="1">
          <x14:formula1>
            <xm:f>'EBM00231'!$A$103:$A$104</xm:f>
          </x14:formula1>
          <xm:sqref>E80:I80</xm:sqref>
        </x14:dataValidation>
        <x14:dataValidation type="list" allowBlank="1" showInputMessage="1" showErrorMessage="1">
          <x14:formula1>
            <xm:f>'EBM00231'!$A$96:$A$97</xm:f>
          </x14:formula1>
          <xm:sqref>N72</xm:sqref>
        </x14:dataValidation>
        <x14:dataValidation type="list" allowBlank="1" showInputMessage="1" showErrorMessage="1">
          <x14:formula1>
            <xm:f>[4]EBM00212!#REF!</xm:f>
          </x14:formula1>
          <xm:sqref>E65:I65</xm:sqref>
        </x14:dataValidation>
        <x14:dataValidation type="list" allowBlank="1" showInputMessage="1" showErrorMessage="1">
          <x14:formula1>
            <xm:f>[4]EBM00231!#REF!</xm:f>
          </x14:formula1>
          <xm:sqref>F62:I62</xm:sqref>
        </x14:dataValidation>
        <x14:dataValidation type="list" allowBlank="1" showInputMessage="1" showErrorMessage="1">
          <x14:formula1>
            <xm:f>'EBM00231'!$A$50:$A$53</xm:f>
          </x14:formula1>
          <xm:sqref>N44</xm:sqref>
        </x14:dataValidation>
        <x14:dataValidation type="list" allowBlank="1" showInputMessage="1" showErrorMessage="1">
          <x14:formula1>
            <xm:f>'EBM00231'!$C$51:$C$52</xm:f>
          </x14:formula1>
          <xm:sqref>E44:I44</xm:sqref>
        </x14:dataValidation>
        <x14:dataValidation type="list" allowBlank="1" showInputMessage="1" showErrorMessage="1">
          <x14:formula1>
            <xm:f>'EBM00231'!$C$42:$C$47</xm:f>
          </x14:formula1>
          <xm:sqref>E41:I41</xm:sqref>
        </x14:dataValidation>
        <x14:dataValidation type="list" allowBlank="1" showInputMessage="1" showErrorMessage="1">
          <x14:formula1>
            <xm:f>'EBM00231'!$C$77:$C$79</xm:f>
          </x14:formula1>
          <xm:sqref>E60:I60</xm:sqref>
        </x14:dataValidation>
        <x14:dataValidation type="list" allowBlank="1" showInputMessage="1" showErrorMessage="1">
          <x14:formula1>
            <xm:f>'EBM00231'!$C$117:$C$125</xm:f>
          </x14:formula1>
          <xm:sqref>E99:I99</xm:sqref>
        </x14:dataValidation>
        <x14:dataValidation type="list" allowBlank="1" showInputMessage="1" showErrorMessage="1">
          <x14:formula1>
            <xm:f>'EBM00231'!$C$65:$C$67</xm:f>
          </x14:formula1>
          <xm:sqref>E52:I52</xm:sqref>
        </x14:dataValidation>
        <x14:dataValidation type="list" allowBlank="1" showInputMessage="1" showErrorMessage="1">
          <x14:formula1>
            <xm:f>'EBM00231'!$C$95:$C$97</xm:f>
          </x14:formula1>
          <xm:sqref>E72:I72</xm:sqref>
        </x14:dataValidation>
        <x14:dataValidation type="list" allowBlank="1" showInputMessage="1" showErrorMessage="1">
          <x14:formula1>
            <xm:f>'EBM00231'!$C$108:$C$109</xm:f>
          </x14:formula1>
          <xm:sqref>E83:I83</xm:sqref>
        </x14:dataValidation>
        <x14:dataValidation type="list" allowBlank="1" showInputMessage="1" showErrorMessage="1">
          <x14:formula1>
            <xm:f>'EBM00231'!$C$87:$C$92</xm:f>
          </x14:formula1>
          <xm:sqref>E66:I66</xm:sqref>
        </x14:dataValidation>
        <x14:dataValidation type="list" allowBlank="1" showInputMessage="1" showErrorMessage="1">
          <x14:formula1>
            <xm:f>'EBM00231'!$C$85:$C$92</xm:f>
          </x14:formula1>
          <xm:sqref>E64:I64</xm:sqref>
        </x14:dataValidation>
        <x14:dataValidation type="list" allowBlank="1" showInputMessage="1" showErrorMessage="1">
          <x14:formula1>
            <xm:f>'EBM00231'!$C$56:$C$64</xm:f>
          </x14:formula1>
          <xm:sqref>E47:I47</xm:sqref>
        </x14:dataValidation>
        <x14:dataValidation type="list" allowBlank="1" showInputMessage="1" showErrorMessage="1">
          <x14:formula1>
            <xm:f>'EBM00231'!$C$55:$C$63</xm:f>
          </x14:formula1>
          <xm:sqref>E50:I50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X83"/>
  <sheetViews>
    <sheetView tabSelected="1" view="pageBreakPreview" zoomScale="85" zoomScaleNormal="100" zoomScaleSheetLayoutView="85" workbookViewId="0">
      <pane xSplit="1" ySplit="5" topLeftCell="B6" activePane="bottomRight" state="frozen"/>
      <selection activeCell="L15" sqref="L15"/>
      <selection pane="topRight" activeCell="L15" sqref="L15"/>
      <selection pane="bottomLeft" activeCell="L15" sqref="L15"/>
      <selection pane="bottomRight" activeCell="G2" sqref="G2:L2"/>
    </sheetView>
  </sheetViews>
  <sheetFormatPr baseColWidth="10" defaultColWidth="11.42578125" defaultRowHeight="15" x14ac:dyDescent="0.25"/>
  <cols>
    <col min="1" max="1" width="10.7109375" style="19" customWidth="1"/>
    <col min="2" max="2" width="25.140625" style="19" customWidth="1"/>
    <col min="3" max="3" width="9.28515625" style="19" customWidth="1"/>
    <col min="4" max="4" width="1.7109375" style="19" customWidth="1"/>
    <col min="5" max="8" width="11" style="19" customWidth="1"/>
    <col min="9" max="9" width="19.85546875" style="19" customWidth="1"/>
    <col min="10" max="10" width="0.5703125" style="19" customWidth="1"/>
    <col min="11" max="11" width="5" style="136" customWidth="1"/>
    <col min="12" max="12" width="20.5703125" style="23" bestFit="1" customWidth="1"/>
    <col min="13" max="13" width="1.7109375" style="101" customWidth="1"/>
    <col min="14" max="14" width="17.85546875" style="19" customWidth="1"/>
    <col min="15" max="15" width="9" style="148" customWidth="1"/>
    <col min="16" max="16" width="15.28515625" style="144" customWidth="1"/>
    <col min="17" max="17" width="1.5703125" style="144" customWidth="1"/>
    <col min="18" max="18" width="13.5703125" style="144" customWidth="1"/>
    <col min="19" max="19" width="1.7109375" style="144" customWidth="1"/>
    <col min="20" max="20" width="1.7109375" style="148" customWidth="1"/>
    <col min="21" max="21" width="20.5703125" style="19" customWidth="1"/>
    <col min="22" max="22" width="4.5703125" style="19" customWidth="1"/>
    <col min="23" max="23" width="4.5703125" style="81" customWidth="1"/>
    <col min="24" max="16384" width="11.42578125" style="19"/>
  </cols>
  <sheetData>
    <row r="1" spans="2:24" x14ac:dyDescent="0.25">
      <c r="B1" s="17"/>
      <c r="C1" s="17"/>
      <c r="D1" s="17"/>
      <c r="E1" s="17"/>
      <c r="F1" s="17"/>
      <c r="G1" s="17"/>
      <c r="H1" s="17"/>
      <c r="I1" s="17"/>
      <c r="J1" s="17"/>
      <c r="K1" s="17"/>
      <c r="L1" s="27"/>
      <c r="M1" s="97"/>
      <c r="N1" s="17"/>
      <c r="O1" s="97"/>
      <c r="P1" s="97"/>
      <c r="Q1" s="97"/>
      <c r="R1" s="97"/>
      <c r="S1" s="97"/>
      <c r="W1" s="19"/>
    </row>
    <row r="2" spans="2:24" ht="20.25" customHeight="1" x14ac:dyDescent="0.25">
      <c r="B2" s="39" t="s">
        <v>193</v>
      </c>
      <c r="C2" s="17"/>
      <c r="D2" s="17"/>
      <c r="E2" s="149" t="s">
        <v>524</v>
      </c>
      <c r="F2" s="17"/>
      <c r="G2" s="387"/>
      <c r="H2" s="388"/>
      <c r="I2" s="388"/>
      <c r="J2" s="388"/>
      <c r="K2" s="388"/>
      <c r="L2" s="389"/>
      <c r="M2" s="98"/>
      <c r="O2" s="97"/>
      <c r="P2" s="97"/>
      <c r="Q2" s="97"/>
      <c r="R2" s="97"/>
      <c r="S2" s="97"/>
    </row>
    <row r="3" spans="2:24" ht="15" customHeight="1" x14ac:dyDescent="0.25">
      <c r="B3" s="39"/>
      <c r="C3" s="17"/>
      <c r="D3" s="17"/>
      <c r="E3" s="76"/>
      <c r="F3" s="17"/>
      <c r="G3" s="113"/>
      <c r="H3" s="113"/>
      <c r="I3" s="113"/>
      <c r="J3" s="113"/>
      <c r="K3" s="113"/>
      <c r="L3" s="113"/>
      <c r="M3" s="98"/>
      <c r="O3" s="97"/>
      <c r="P3" s="97"/>
      <c r="Q3" s="97"/>
      <c r="R3" s="97"/>
      <c r="S3" s="97"/>
    </row>
    <row r="4" spans="2:24" s="103" customFormat="1" ht="25.5" x14ac:dyDescent="0.25">
      <c r="B4" s="150" t="s">
        <v>525</v>
      </c>
      <c r="E4" s="108" t="str">
        <f>'EBM00239'!C2</f>
        <v>2000063M</v>
      </c>
      <c r="F4" s="109"/>
      <c r="G4" s="110" t="str">
        <f>'EBM00239'!C1</f>
        <v>MCD Medical Line AESCU.nano</v>
      </c>
      <c r="L4" s="104"/>
      <c r="M4" s="106"/>
      <c r="N4" s="105" t="str">
        <f>'EBM00239'!E1</f>
        <v>Rev. H</v>
      </c>
      <c r="O4" s="106"/>
      <c r="P4" s="106"/>
      <c r="Q4" s="106"/>
      <c r="R4" s="414"/>
      <c r="S4" s="414"/>
      <c r="T4" s="415"/>
      <c r="W4" s="111"/>
    </row>
    <row r="5" spans="2:24" x14ac:dyDescent="0.25">
      <c r="B5" s="394" t="s">
        <v>66</v>
      </c>
      <c r="C5" s="395"/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395"/>
      <c r="S5" s="395"/>
    </row>
    <row r="6" spans="2:24" ht="5.25" customHeight="1" x14ac:dyDescent="0.25">
      <c r="B6" s="3"/>
      <c r="C6" s="3"/>
      <c r="D6" s="3"/>
      <c r="E6" s="3"/>
      <c r="F6" s="3"/>
      <c r="G6" s="3"/>
      <c r="H6" s="3"/>
      <c r="I6" s="3"/>
      <c r="J6" s="3"/>
      <c r="K6" s="131"/>
      <c r="L6" s="88"/>
      <c r="M6" s="45"/>
      <c r="N6" s="3"/>
      <c r="O6" s="144"/>
      <c r="P6" s="368"/>
      <c r="Q6" s="368"/>
      <c r="R6" s="416"/>
      <c r="S6" s="368"/>
    </row>
    <row r="7" spans="2:24" ht="20.25" x14ac:dyDescent="0.25">
      <c r="B7" s="135" t="s">
        <v>526</v>
      </c>
      <c r="D7" s="3"/>
      <c r="E7" s="3"/>
      <c r="F7" s="3"/>
      <c r="G7" s="3"/>
      <c r="H7" s="3"/>
      <c r="I7" s="3"/>
      <c r="J7" s="87"/>
      <c r="K7" s="176"/>
      <c r="L7" s="24" t="s">
        <v>75</v>
      </c>
      <c r="M7" s="99"/>
      <c r="N7" s="138" t="s">
        <v>546</v>
      </c>
      <c r="O7" s="369" t="s">
        <v>716</v>
      </c>
      <c r="P7" s="370" t="s">
        <v>189</v>
      </c>
      <c r="Q7" s="374"/>
      <c r="R7" s="417"/>
      <c r="S7" s="374"/>
      <c r="U7" s="121" t="s">
        <v>543</v>
      </c>
      <c r="V7" s="136"/>
    </row>
    <row r="8" spans="2:24" x14ac:dyDescent="0.25">
      <c r="B8" s="3"/>
      <c r="C8" s="60"/>
      <c r="D8" s="3"/>
      <c r="E8" s="3"/>
      <c r="F8" s="3"/>
      <c r="G8" s="3"/>
      <c r="H8" s="3"/>
      <c r="I8" s="3"/>
      <c r="J8" s="3"/>
      <c r="K8" s="131"/>
      <c r="L8" s="88"/>
      <c r="M8" s="45"/>
      <c r="N8" s="3"/>
      <c r="O8" s="144"/>
      <c r="P8" s="371"/>
      <c r="Q8" s="85"/>
      <c r="R8" s="190"/>
      <c r="S8" s="85"/>
      <c r="U8" s="124" t="s">
        <v>544</v>
      </c>
      <c r="V8" s="136"/>
    </row>
    <row r="9" spans="2:24" s="131" customFormat="1" ht="5.25" customHeight="1" x14ac:dyDescent="0.25">
      <c r="C9" s="145"/>
      <c r="L9" s="179"/>
      <c r="M9" s="144"/>
      <c r="N9" s="179"/>
      <c r="O9" s="144"/>
      <c r="P9" s="372"/>
      <c r="Q9" s="144"/>
      <c r="R9" s="144"/>
      <c r="S9" s="144"/>
      <c r="T9" s="144"/>
    </row>
    <row r="10" spans="2:24" s="3" customFormat="1" x14ac:dyDescent="0.25">
      <c r="C10" s="139" t="s">
        <v>187</v>
      </c>
      <c r="D10" s="29"/>
      <c r="E10" s="78" t="str">
        <f>'EBM00239'!C5</f>
        <v>Gehäuse Nanum SE-TC5 - Sample MCD Konfiguration</v>
      </c>
      <c r="F10" s="140"/>
      <c r="G10" s="140"/>
      <c r="H10" s="140"/>
      <c r="I10" s="140"/>
      <c r="J10" s="115"/>
      <c r="K10" s="115"/>
      <c r="L10" s="141" t="str">
        <f>IF(INDEX('EBM00239'!B:B,MATCH(E10,'EBM00239'!C:C,0))=0,"",INDEX('EBM00239'!B:B,MATCH(E10,'EBM00239'!C:C,0)))</f>
        <v>3031220M</v>
      </c>
      <c r="M10" s="147"/>
      <c r="N10" s="141">
        <f>VLOOKUP(L10,'EBM00239'!B:F,3,FALSE)</f>
        <v>1</v>
      </c>
      <c r="O10" s="144"/>
      <c r="P10" s="371">
        <f>IFERROR(VLOOKUP(L10,'EBM00239'!$B:$F,4,),)</f>
        <v>176.54320987654319</v>
      </c>
      <c r="Q10" s="144"/>
      <c r="R10" s="189"/>
      <c r="S10" s="85"/>
      <c r="T10" s="144"/>
      <c r="U10" s="84">
        <f t="shared" ref="U10:U29" si="0">N10*P10</f>
        <v>176.54320987654319</v>
      </c>
      <c r="V10" s="84"/>
      <c r="W10" s="144"/>
      <c r="X10" s="19"/>
    </row>
    <row r="11" spans="2:24" s="3" customFormat="1" x14ac:dyDescent="0.25">
      <c r="C11" s="139" t="s">
        <v>527</v>
      </c>
      <c r="D11" s="29"/>
      <c r="E11" s="78" t="str">
        <f>'EBM00239'!C6</f>
        <v>Drucktaster MCD AESCU.nano Power-Symbol grün inkl. Kabel</v>
      </c>
      <c r="F11" s="140"/>
      <c r="G11" s="140"/>
      <c r="H11" s="140"/>
      <c r="I11" s="140"/>
      <c r="J11" s="115"/>
      <c r="K11" s="115"/>
      <c r="L11" s="141" t="str">
        <f>IF(INDEX('EBM00239'!B:B,MATCH(E11,'EBM00239'!C:C,0))=0,"",INDEX('EBM00239'!B:B,MATCH(E11,'EBM00239'!C:C,0)))</f>
        <v>7300151M</v>
      </c>
      <c r="M11" s="147"/>
      <c r="N11" s="141">
        <f>VLOOKUP(L11,'EBM00239'!B:F,3,FALSE)</f>
        <v>1</v>
      </c>
      <c r="O11" s="144"/>
      <c r="P11" s="371">
        <f>IFERROR(VLOOKUP(L11,'EBM00239'!$B:$F,4,),)</f>
        <v>18.02469135802469</v>
      </c>
      <c r="Q11" s="144"/>
      <c r="R11" s="189"/>
      <c r="S11" s="85"/>
      <c r="T11" s="144"/>
      <c r="U11" s="84">
        <f t="shared" si="0"/>
        <v>18.02469135802469</v>
      </c>
      <c r="V11" s="84"/>
      <c r="W11" s="144"/>
      <c r="X11" s="19"/>
    </row>
    <row r="12" spans="2:24" s="3" customFormat="1" x14ac:dyDescent="0.25">
      <c r="C12" s="154" t="s">
        <v>528</v>
      </c>
      <c r="D12" s="29"/>
      <c r="E12" s="78" t="str">
        <f>'EBM00239'!C7</f>
        <v>Mainboard mITX Fujitsu D3433-S (MCD)</v>
      </c>
      <c r="F12" s="140"/>
      <c r="G12" s="140"/>
      <c r="H12" s="140"/>
      <c r="I12" s="140"/>
      <c r="J12" s="115"/>
      <c r="K12" s="115"/>
      <c r="L12" s="141" t="str">
        <f>IF(INDEX('EBM00239'!B:B,MATCH(E12,'EBM00239'!C:C,0))=0,"",INDEX('EBM00239'!B:B,MATCH(E12,'EBM00239'!C:C,0)))</f>
        <v>3050027M</v>
      </c>
      <c r="M12" s="147"/>
      <c r="N12" s="141">
        <f>VLOOKUP(L12,'EBM00239'!B:F,3,FALSE)</f>
        <v>1</v>
      </c>
      <c r="O12" s="144"/>
      <c r="P12" s="371">
        <f>IFERROR(VLOOKUP(L12,'EBM00239'!$B:$F,4,),)</f>
        <v>183.95061728395061</v>
      </c>
      <c r="Q12" s="144"/>
      <c r="R12" s="189"/>
      <c r="S12" s="85"/>
      <c r="T12" s="144"/>
      <c r="U12" s="84">
        <f t="shared" si="0"/>
        <v>183.95061728395061</v>
      </c>
      <c r="V12" s="84"/>
      <c r="W12" s="144"/>
      <c r="X12" s="19"/>
    </row>
    <row r="13" spans="2:24" s="3" customFormat="1" x14ac:dyDescent="0.25">
      <c r="C13" s="28"/>
      <c r="D13" s="29"/>
      <c r="E13" s="78" t="str">
        <f>'EBM00239'!C8</f>
        <v>Kabelbaum MCD TL Gen3 12V für D3243-S</v>
      </c>
      <c r="F13" s="140"/>
      <c r="G13" s="140"/>
      <c r="H13" s="140"/>
      <c r="I13" s="140"/>
      <c r="J13" s="115"/>
      <c r="K13" s="115"/>
      <c r="L13" s="141" t="str">
        <f>IF(INDEX('EBM00239'!B:B,MATCH(E13,'EBM00239'!C:C,0))=0,"",INDEX('EBM00239'!B:B,MATCH(E13,'EBM00239'!C:C,0)))</f>
        <v>7100155M-1</v>
      </c>
      <c r="M13" s="147"/>
      <c r="N13" s="141">
        <f>VLOOKUP(L13,'EBM00239'!B:F,3,FALSE)</f>
        <v>1</v>
      </c>
      <c r="O13" s="144"/>
      <c r="P13" s="371">
        <f>IFERROR(VLOOKUP(L13,'EBM00239'!$B:$F,4,),)</f>
        <v>16.123456790123456</v>
      </c>
      <c r="Q13" s="144"/>
      <c r="R13" s="189"/>
      <c r="S13" s="85"/>
      <c r="T13" s="144"/>
      <c r="U13" s="84">
        <f t="shared" si="0"/>
        <v>16.123456790123456</v>
      </c>
      <c r="V13" s="84"/>
      <c r="W13" s="144"/>
      <c r="X13" s="19"/>
    </row>
    <row r="14" spans="2:24" s="3" customFormat="1" x14ac:dyDescent="0.25">
      <c r="C14" s="28"/>
      <c r="D14" s="29"/>
      <c r="E14" s="78" t="str">
        <f>'EBM00239'!C9</f>
        <v>Adapterkabel MCD TL Gen3 ext. PSU 12V für D3243-S</v>
      </c>
      <c r="F14" s="140"/>
      <c r="G14" s="140"/>
      <c r="H14" s="140"/>
      <c r="I14" s="140"/>
      <c r="J14" s="115"/>
      <c r="K14" s="115"/>
      <c r="L14" s="141" t="str">
        <f>IF(INDEX('EBM00239'!B:B,MATCH(E14,'EBM00239'!C:C,0))=0,"",INDEX('EBM00239'!B:B,MATCH(E14,'EBM00239'!C:C,0)))</f>
        <v>7100154M</v>
      </c>
      <c r="M14" s="147"/>
      <c r="N14" s="141">
        <f>VLOOKUP(L14,'EBM00239'!B:F,3,FALSE)</f>
        <v>1</v>
      </c>
      <c r="O14" s="144"/>
      <c r="P14" s="371">
        <f>IFERROR(VLOOKUP(L14,'EBM00239'!$B:$F,4,),)</f>
        <v>18.061728395061728</v>
      </c>
      <c r="Q14" s="144"/>
      <c r="R14" s="189"/>
      <c r="S14" s="85"/>
      <c r="T14" s="144"/>
      <c r="U14" s="84">
        <f t="shared" si="0"/>
        <v>18.061728395061728</v>
      </c>
      <c r="V14" s="84"/>
      <c r="W14" s="144"/>
      <c r="X14" s="19"/>
    </row>
    <row r="15" spans="2:24" s="3" customFormat="1" x14ac:dyDescent="0.25">
      <c r="C15" s="28"/>
      <c r="D15" s="29"/>
      <c r="E15" s="78" t="str">
        <f>'EBM00239'!C10</f>
        <v>Netzteil AN 90W FSP090-RHCM1 inkl. Binder-Stecker</v>
      </c>
      <c r="F15" s="140"/>
      <c r="G15" s="140"/>
      <c r="H15" s="140"/>
      <c r="I15" s="140"/>
      <c r="J15" s="115"/>
      <c r="K15" s="115"/>
      <c r="L15" s="141" t="str">
        <f>IF(INDEX('EBM00239'!B:B,MATCH(E15,'EBM00239'!C:C,0))=0,"",INDEX('EBM00239'!B:B,MATCH(E15,'EBM00239'!C:C,0)))</f>
        <v>6300068M</v>
      </c>
      <c r="M15" s="147"/>
      <c r="N15" s="141">
        <f>VLOOKUP(L15,'EBM00239'!B:F,3,FALSE)</f>
        <v>1</v>
      </c>
      <c r="O15" s="144"/>
      <c r="P15" s="371">
        <f>IFERROR(VLOOKUP(L15,'EBM00239'!$B:$F,4,),)</f>
        <v>50.617283950617278</v>
      </c>
      <c r="Q15" s="144"/>
      <c r="R15" s="189"/>
      <c r="S15" s="85"/>
      <c r="T15" s="144"/>
      <c r="U15" s="84">
        <f t="shared" si="0"/>
        <v>50.617283950617278</v>
      </c>
      <c r="V15" s="84"/>
      <c r="W15" s="144"/>
      <c r="X15" s="19"/>
    </row>
    <row r="16" spans="2:24" s="3" customFormat="1" x14ac:dyDescent="0.25">
      <c r="C16" s="28"/>
      <c r="D16" s="29"/>
      <c r="E16" s="78" t="str">
        <f>'EBM00239'!C11</f>
        <v>Kabelbuchse Binder 4pol gewinkelt Serie 682 OV² (in PSU enthalten)</v>
      </c>
      <c r="F16" s="140"/>
      <c r="G16" s="140"/>
      <c r="H16" s="140"/>
      <c r="I16" s="140"/>
      <c r="J16" s="115"/>
      <c r="K16" s="115"/>
      <c r="L16" s="141" t="str">
        <f>IF(INDEX('EBM00239'!B:B,MATCH(E16,'EBM00239'!C:C,0))=0,"",INDEX('EBM00239'!B:B,MATCH(E16,'EBM00239'!C:C,0)))</f>
        <v>7100169M</v>
      </c>
      <c r="M16" s="147"/>
      <c r="N16" s="141">
        <v>0</v>
      </c>
      <c r="O16" s="144"/>
      <c r="P16" s="371">
        <f>IFERROR(VLOOKUP(L16,'EBM00239'!$B:$F,4,),)</f>
        <v>7.4444444444444446</v>
      </c>
      <c r="Q16" s="144"/>
      <c r="R16" s="189"/>
      <c r="S16" s="85"/>
      <c r="T16" s="144"/>
      <c r="U16" s="84">
        <f t="shared" si="0"/>
        <v>0</v>
      </c>
      <c r="V16" s="84"/>
      <c r="W16" s="144"/>
      <c r="X16" s="19"/>
    </row>
    <row r="17" spans="3:24" s="3" customFormat="1" x14ac:dyDescent="0.25">
      <c r="C17" s="28"/>
      <c r="D17" s="29"/>
      <c r="E17" s="78" t="str">
        <f>'EBM00239'!C12</f>
        <v>Stromkabel 2 Pin, C7, 2m, schwarz, EU</v>
      </c>
      <c r="F17" s="140"/>
      <c r="G17" s="140"/>
      <c r="H17" s="140"/>
      <c r="I17" s="140"/>
      <c r="J17" s="115"/>
      <c r="K17" s="115"/>
      <c r="L17" s="141" t="str">
        <f>IF(INDEX('EBM00239'!B:B,MATCH(E17,'EBM00239'!C:C,0))=0,"",INDEX('EBM00239'!B:B,MATCH(E17,'EBM00239'!C:C,0)))</f>
        <v>7100130M-1</v>
      </c>
      <c r="M17" s="147"/>
      <c r="N17" s="141">
        <f>VLOOKUP(L17,'EBM00239'!B:F,3,FALSE)</f>
        <v>1</v>
      </c>
      <c r="O17" s="144"/>
      <c r="P17" s="371">
        <f>IFERROR(VLOOKUP(L17,'EBM00239'!$B:$F,4,),)</f>
        <v>3.1358024691358022</v>
      </c>
      <c r="Q17" s="144"/>
      <c r="R17" s="189"/>
      <c r="S17" s="85"/>
      <c r="T17" s="144"/>
      <c r="U17" s="84">
        <f t="shared" si="0"/>
        <v>3.1358024691358022</v>
      </c>
      <c r="V17" s="84"/>
      <c r="W17" s="144"/>
      <c r="X17" s="19"/>
    </row>
    <row r="18" spans="3:24" s="3" customFormat="1" x14ac:dyDescent="0.25">
      <c r="C18" s="28"/>
      <c r="D18" s="29"/>
      <c r="E18" s="78" t="str">
        <f>'EBM00239'!C13</f>
        <v>Potential Ausgleichsbolzen 15mm (Set)</v>
      </c>
      <c r="F18" s="140"/>
      <c r="G18" s="140"/>
      <c r="H18" s="140"/>
      <c r="I18" s="140"/>
      <c r="J18" s="115"/>
      <c r="K18" s="115"/>
      <c r="L18" s="141">
        <f>IF(INDEX('EBM00239'!B:B,MATCH(E18,'EBM00239'!C:C,0))=0,"",INDEX('EBM00239'!B:B,MATCH(E18,'EBM00239'!C:C,0)))</f>
        <v>2090064</v>
      </c>
      <c r="M18" s="147"/>
      <c r="N18" s="141">
        <f>VLOOKUP(L18,'EBM00239'!B:F,3,FALSE)</f>
        <v>1</v>
      </c>
      <c r="O18" s="144"/>
      <c r="P18" s="371">
        <f>IFERROR(VLOOKUP(L18,'EBM00239'!$B:$F,4,),)</f>
        <v>0.91662962962962957</v>
      </c>
      <c r="Q18" s="144"/>
      <c r="R18" s="189"/>
      <c r="S18" s="85"/>
      <c r="T18" s="144"/>
      <c r="U18" s="84">
        <f t="shared" si="0"/>
        <v>0.91662962962962957</v>
      </c>
      <c r="V18" s="84"/>
      <c r="W18" s="144"/>
      <c r="X18" s="19"/>
    </row>
    <row r="19" spans="3:24" s="3" customFormat="1" x14ac:dyDescent="0.25">
      <c r="C19" s="28"/>
      <c r="D19" s="29"/>
      <c r="E19" s="78" t="str">
        <f>'EBM00239'!C14</f>
        <v>Selbstsichernde Mutter M6 VA</v>
      </c>
      <c r="F19" s="140"/>
      <c r="G19" s="140"/>
      <c r="H19" s="140"/>
      <c r="I19" s="140"/>
      <c r="J19" s="115"/>
      <c r="K19" s="115"/>
      <c r="L19" s="141" t="str">
        <f>IF(INDEX('EBM00239'!B:B,MATCH(E19,'EBM00239'!C:C,0))=0,"",INDEX('EBM00239'!B:B,MATCH(E19,'EBM00239'!C:C,0)))</f>
        <v>7000043M</v>
      </c>
      <c r="M19" s="147"/>
      <c r="N19" s="141">
        <f>VLOOKUP(L19,'EBM00239'!B:F,3,FALSE)</f>
        <v>1</v>
      </c>
      <c r="O19" s="144"/>
      <c r="P19" s="371">
        <f>IFERROR(VLOOKUP(L19,'EBM00239'!$B:$F,4,),)</f>
        <v>0</v>
      </c>
      <c r="Q19" s="144"/>
      <c r="R19" s="189"/>
      <c r="S19" s="85"/>
      <c r="T19" s="144"/>
      <c r="U19" s="84">
        <f t="shared" si="0"/>
        <v>0</v>
      </c>
      <c r="V19" s="84"/>
      <c r="W19" s="144"/>
      <c r="X19" s="19"/>
    </row>
    <row r="20" spans="3:24" s="3" customFormat="1" x14ac:dyDescent="0.25">
      <c r="C20" s="28"/>
      <c r="D20" s="29"/>
      <c r="E20" s="78" t="str">
        <f>'EBM00239'!C15</f>
        <v>Sechskantmutter Binder M16x1.5 TL Gen3</v>
      </c>
      <c r="F20" s="140"/>
      <c r="G20" s="140"/>
      <c r="H20" s="140"/>
      <c r="I20" s="140"/>
      <c r="J20" s="115"/>
      <c r="K20" s="115"/>
      <c r="L20" s="141" t="str">
        <f>IF(INDEX('EBM00239'!B:B,MATCH(E20,'EBM00239'!C:C,0))=0,"",INDEX('EBM00239'!B:B,MATCH(E20,'EBM00239'!C:C,0)))</f>
        <v>7100150M</v>
      </c>
      <c r="M20" s="147"/>
      <c r="N20" s="141">
        <f>VLOOKUP(L20,'EBM00239'!B:F,3,FALSE)</f>
        <v>1</v>
      </c>
      <c r="O20" s="144"/>
      <c r="P20" s="371">
        <f>IFERROR(VLOOKUP(L20,'EBM00239'!$B:$F,4,),)</f>
        <v>0.29629629629629628</v>
      </c>
      <c r="Q20" s="144"/>
      <c r="R20" s="189"/>
      <c r="S20" s="85"/>
      <c r="T20" s="144"/>
      <c r="U20" s="84">
        <f t="shared" si="0"/>
        <v>0.29629629629629628</v>
      </c>
      <c r="V20" s="84"/>
      <c r="W20" s="144"/>
      <c r="X20" s="19"/>
    </row>
    <row r="21" spans="3:24" s="3" customFormat="1" x14ac:dyDescent="0.25">
      <c r="C21" s="28"/>
      <c r="D21" s="29"/>
      <c r="E21" s="78" t="str">
        <f>'EBM00239'!C16</f>
        <v>Linsenschraube BN4825 M3x5 AMD G3</v>
      </c>
      <c r="F21" s="140"/>
      <c r="G21" s="140"/>
      <c r="H21" s="140"/>
      <c r="I21" s="140"/>
      <c r="J21" s="115"/>
      <c r="K21" s="115"/>
      <c r="L21" s="141" t="str">
        <f>IF(INDEX('EBM00239'!B:B,MATCH(E21,'EBM00239'!C:C,0))=0,"",INDEX('EBM00239'!B:B,MATCH(E21,'EBM00239'!C:C,0)))</f>
        <v>7000065M</v>
      </c>
      <c r="M21" s="147"/>
      <c r="N21" s="141">
        <f>VLOOKUP(L21,'EBM00239'!B:F,3,FALSE)</f>
        <v>4</v>
      </c>
      <c r="O21" s="144"/>
      <c r="P21" s="371">
        <f>IFERROR(VLOOKUP(L21,'EBM00239'!$B:$F,4,),)</f>
        <v>2.4691358024691357E-2</v>
      </c>
      <c r="Q21" s="144"/>
      <c r="R21" s="189"/>
      <c r="S21" s="85"/>
      <c r="T21" s="144"/>
      <c r="U21" s="84">
        <f t="shared" si="0"/>
        <v>9.8765432098765427E-2</v>
      </c>
      <c r="V21" s="84"/>
      <c r="W21" s="144"/>
      <c r="X21" s="19"/>
    </row>
    <row r="22" spans="3:24" s="3" customFormat="1" x14ac:dyDescent="0.25">
      <c r="C22" s="28"/>
      <c r="D22" s="29"/>
      <c r="E22" s="78" t="str">
        <f>'EBM00239'!C17</f>
        <v>Isolier-Distanzhülse 3mm</v>
      </c>
      <c r="F22" s="140"/>
      <c r="G22" s="140"/>
      <c r="H22" s="140"/>
      <c r="I22" s="140"/>
      <c r="J22" s="115"/>
      <c r="K22" s="115"/>
      <c r="L22" s="141">
        <f>IF(INDEX('EBM00239'!B:B,MATCH(E22,'EBM00239'!C:C,0))=0,"",INDEX('EBM00239'!B:B,MATCH(E22,'EBM00239'!C:C,0)))</f>
        <v>9824720</v>
      </c>
      <c r="M22" s="147"/>
      <c r="N22" s="141">
        <f>VLOOKUP(L22,'EBM00239'!B:F,3,FALSE)</f>
        <v>4</v>
      </c>
      <c r="O22" s="144"/>
      <c r="P22" s="371">
        <f>IFERROR(VLOOKUP(L22,'EBM00239'!$B:$F,4,),)</f>
        <v>4.9382716049382713E-2</v>
      </c>
      <c r="Q22" s="144"/>
      <c r="R22" s="189"/>
      <c r="S22" s="85"/>
      <c r="T22" s="144"/>
      <c r="U22" s="84">
        <f t="shared" si="0"/>
        <v>0.19753086419753085</v>
      </c>
      <c r="V22" s="84"/>
      <c r="W22" s="144"/>
      <c r="X22" s="19"/>
    </row>
    <row r="23" spans="3:24" s="3" customFormat="1" x14ac:dyDescent="0.25">
      <c r="C23" s="28"/>
      <c r="D23" s="29"/>
      <c r="E23" s="78" t="str">
        <f>'EBM00239'!C18</f>
        <v>Isolier-Distanzhülse 10mm</v>
      </c>
      <c r="F23" s="140"/>
      <c r="G23" s="140"/>
      <c r="H23" s="140"/>
      <c r="I23" s="140"/>
      <c r="J23" s="115"/>
      <c r="K23" s="115"/>
      <c r="L23" s="141">
        <f>IF(INDEX('EBM00239'!B:B,MATCH(E23,'EBM00239'!C:C,0))=0,"",INDEX('EBM00239'!B:B,MATCH(E23,'EBM00239'!C:C,0)))</f>
        <v>9824543</v>
      </c>
      <c r="M23" s="147"/>
      <c r="N23" s="141">
        <f>VLOOKUP(L23,'EBM00239'!B:F,3,FALSE)</f>
        <v>4</v>
      </c>
      <c r="O23" s="144"/>
      <c r="P23" s="371">
        <f>IFERROR(VLOOKUP(L23,'EBM00239'!$B:$F,4,),)</f>
        <v>1.2345679012345678E-2</v>
      </c>
      <c r="Q23" s="144"/>
      <c r="R23" s="189"/>
      <c r="S23" s="85"/>
      <c r="T23" s="144"/>
      <c r="U23" s="84">
        <f t="shared" si="0"/>
        <v>4.9382716049382713E-2</v>
      </c>
      <c r="V23" s="84"/>
      <c r="W23" s="144"/>
      <c r="X23" s="19"/>
    </row>
    <row r="24" spans="3:24" s="3" customFormat="1" x14ac:dyDescent="0.25">
      <c r="C24" s="28"/>
      <c r="D24" s="29"/>
      <c r="E24" s="78" t="str">
        <f>'EBM00239'!C19</f>
        <v>Kabelbinder schwarz 135mm x 2.6mm</v>
      </c>
      <c r="F24" s="140"/>
      <c r="G24" s="140"/>
      <c r="H24" s="140"/>
      <c r="I24" s="140"/>
      <c r="J24" s="115"/>
      <c r="K24" s="115"/>
      <c r="L24" s="141" t="str">
        <f>IF(INDEX('EBM00239'!B:B,MATCH(E24,'EBM00239'!C:C,0))=0,"",INDEX('EBM00239'!B:B,MATCH(E24,'EBM00239'!C:C,0)))</f>
        <v>7000007M</v>
      </c>
      <c r="M24" s="147"/>
      <c r="N24" s="141">
        <f>VLOOKUP(L24,'EBM00239'!B:F,3,FALSE)</f>
        <v>1</v>
      </c>
      <c r="O24" s="144"/>
      <c r="P24" s="371">
        <f>IFERROR(VLOOKUP(L24,'EBM00239'!$B:$F,4,),)</f>
        <v>2.4691358024691357E-2</v>
      </c>
      <c r="Q24" s="144"/>
      <c r="R24" s="189"/>
      <c r="S24" s="85"/>
      <c r="T24" s="144"/>
      <c r="U24" s="84">
        <f t="shared" si="0"/>
        <v>2.4691358024691357E-2</v>
      </c>
      <c r="V24" s="84"/>
      <c r="W24" s="144"/>
      <c r="X24" s="19"/>
    </row>
    <row r="25" spans="3:24" s="3" customFormat="1" x14ac:dyDescent="0.25">
      <c r="C25" s="28"/>
      <c r="D25" s="29"/>
      <c r="E25" s="78" t="str">
        <f>'EBM00239'!C20</f>
        <v>Verpackung MCD AESCU.nano Umkarton</v>
      </c>
      <c r="F25" s="140"/>
      <c r="G25" s="140"/>
      <c r="H25" s="140"/>
      <c r="I25" s="140"/>
      <c r="J25" s="115"/>
      <c r="K25" s="115"/>
      <c r="L25" s="141" t="str">
        <f>IF(INDEX('EBM00239'!B:B,MATCH(E25,'EBM00239'!C:C,0))=0,"",INDEX('EBM00239'!B:B,MATCH(E25,'EBM00239'!C:C,0)))</f>
        <v>7200026M</v>
      </c>
      <c r="M25" s="147"/>
      <c r="N25" s="141">
        <f>VLOOKUP(L25,'EBM00239'!B:F,3,FALSE)</f>
        <v>1</v>
      </c>
      <c r="O25" s="144"/>
      <c r="P25" s="371">
        <f>IFERROR(VLOOKUP(L25,'EBM00239'!$B:$F,4,),)</f>
        <v>7.7530864197530862</v>
      </c>
      <c r="Q25" s="144"/>
      <c r="R25" s="189"/>
      <c r="S25" s="85"/>
      <c r="T25" s="144"/>
      <c r="U25" s="84">
        <f t="shared" si="0"/>
        <v>7.7530864197530862</v>
      </c>
      <c r="V25" s="84"/>
      <c r="W25" s="144"/>
      <c r="X25" s="19"/>
    </row>
    <row r="26" spans="3:24" s="3" customFormat="1" x14ac:dyDescent="0.25">
      <c r="C26" s="28"/>
      <c r="D26" s="29"/>
      <c r="E26" s="78" t="str">
        <f>'EBM00239'!C21</f>
        <v>Verpackung MCD AESCU.nano Schaumstoff</v>
      </c>
      <c r="F26" s="140"/>
      <c r="G26" s="140"/>
      <c r="H26" s="140"/>
      <c r="I26" s="140"/>
      <c r="J26" s="115"/>
      <c r="K26" s="115"/>
      <c r="L26" s="141" t="str">
        <f>IF(INDEX('EBM00239'!B:B,MATCH(E26,'EBM00239'!C:C,0))=0,"",INDEX('EBM00239'!B:B,MATCH(E26,'EBM00239'!C:C,0)))</f>
        <v>7200029M</v>
      </c>
      <c r="M26" s="147"/>
      <c r="N26" s="141">
        <f>VLOOKUP(L26,'EBM00239'!B:F,3,FALSE)</f>
        <v>1</v>
      </c>
      <c r="O26" s="144"/>
      <c r="P26" s="371">
        <f>IFERROR(VLOOKUP(L26,'EBM00239'!$B:$F,4,),)</f>
        <v>2.3456790123456788</v>
      </c>
      <c r="Q26" s="144"/>
      <c r="R26" s="189"/>
      <c r="S26" s="85"/>
      <c r="T26" s="144"/>
      <c r="U26" s="84">
        <f t="shared" si="0"/>
        <v>2.3456790123456788</v>
      </c>
      <c r="V26" s="84"/>
      <c r="W26" s="144"/>
      <c r="X26" s="19"/>
    </row>
    <row r="27" spans="3:24" s="3" customFormat="1" x14ac:dyDescent="0.25">
      <c r="C27" s="28"/>
      <c r="D27" s="29"/>
      <c r="E27" s="78" t="str">
        <f>'EBM00239'!C22</f>
        <v>MCD Produktflyer Man&amp;Machine</v>
      </c>
      <c r="F27" s="140"/>
      <c r="G27" s="140"/>
      <c r="H27" s="140"/>
      <c r="I27" s="140"/>
      <c r="J27" s="115"/>
      <c r="K27" s="115"/>
      <c r="L27" s="141" t="str">
        <f>IF(INDEX('EBM00239'!B:B,MATCH(E27,'EBM00239'!C:C,0))=0,"",INDEX('EBM00239'!B:B,MATCH(E27,'EBM00239'!C:C,0)))</f>
        <v>6500093M</v>
      </c>
      <c r="M27" s="147"/>
      <c r="N27" s="141">
        <f>VLOOKUP(L27,'EBM00239'!B:F,3,FALSE)</f>
        <v>1</v>
      </c>
      <c r="O27" s="144"/>
      <c r="P27" s="371">
        <f>IFERROR(VLOOKUP(L27,'EBM00239'!$B:$F,4,),)</f>
        <v>0</v>
      </c>
      <c r="Q27" s="144"/>
      <c r="R27" s="189"/>
      <c r="S27" s="85"/>
      <c r="T27" s="144"/>
      <c r="U27" s="84">
        <f t="shared" si="0"/>
        <v>0</v>
      </c>
      <c r="V27" s="84"/>
      <c r="W27" s="144"/>
      <c r="X27" s="19"/>
    </row>
    <row r="28" spans="3:24" s="3" customFormat="1" x14ac:dyDescent="0.25">
      <c r="C28" s="28"/>
      <c r="D28" s="29"/>
      <c r="E28" s="78" t="str">
        <f>'EBM00239'!C23</f>
        <v>Hologramm "Original Siegel" MCD Medical Line</v>
      </c>
      <c r="F28" s="29"/>
      <c r="G28" s="29"/>
      <c r="H28" s="29"/>
      <c r="I28" s="29"/>
      <c r="J28" s="93"/>
      <c r="K28" s="115"/>
      <c r="L28" s="30" t="str">
        <f>IF(INDEX('EBM00239'!B:B,MATCH(E28,'EBM00239'!C:C,0))=0,"",INDEX('EBM00239'!B:B,MATCH(E28,'EBM00239'!C:C,0)))</f>
        <v>7300147M</v>
      </c>
      <c r="M28" s="100"/>
      <c r="N28" s="30">
        <f>VLOOKUP(L28,'EBM00239'!B:F,3,FALSE)</f>
        <v>1</v>
      </c>
      <c r="O28" s="144"/>
      <c r="P28" s="371">
        <f>IFERROR(VLOOKUP(L28,'EBM00239'!$B:$F,4,),)</f>
        <v>4.9382716049382713E-2</v>
      </c>
      <c r="Q28" s="144"/>
      <c r="R28" s="189"/>
      <c r="S28" s="85"/>
      <c r="T28" s="144"/>
      <c r="U28" s="84">
        <f t="shared" si="0"/>
        <v>4.9382716049382713E-2</v>
      </c>
      <c r="V28" s="84"/>
      <c r="W28" s="144"/>
      <c r="X28" s="19"/>
    </row>
    <row r="29" spans="3:24" s="131" customFormat="1" x14ac:dyDescent="0.25">
      <c r="C29" s="139"/>
      <c r="D29" s="140"/>
      <c r="E29" s="78" t="str">
        <f>'EBM00239'!C24</f>
        <v>Handbuch MCD Medical Line AESCU.nano DE/EN</v>
      </c>
      <c r="F29" s="140"/>
      <c r="G29" s="140"/>
      <c r="H29" s="140"/>
      <c r="I29" s="140"/>
      <c r="J29" s="115"/>
      <c r="K29" s="115"/>
      <c r="L29" s="141" t="str">
        <f>IF(INDEX('EBM00239'!B:B,MATCH(E29,'EBM00239'!C:C,0))=0,"",INDEX('EBM00239'!B:B,MATCH(E29,'EBM00239'!C:C,0)))</f>
        <v>6500071M</v>
      </c>
      <c r="M29" s="147"/>
      <c r="N29" s="141">
        <f>VLOOKUP(L29,'EBM00239'!B:F,3,FALSE)</f>
        <v>1</v>
      </c>
      <c r="O29" s="144"/>
      <c r="P29" s="371">
        <f>IFERROR(VLOOKUP(L29,'EBM00239'!$B:$F,4,),)</f>
        <v>0</v>
      </c>
      <c r="Q29" s="144"/>
      <c r="R29" s="189"/>
      <c r="S29" s="85"/>
      <c r="T29" s="144"/>
      <c r="U29" s="84">
        <f t="shared" si="0"/>
        <v>0</v>
      </c>
      <c r="V29" s="84"/>
      <c r="W29" s="144"/>
      <c r="X29" s="136"/>
    </row>
    <row r="30" spans="3:24" s="131" customFormat="1" x14ac:dyDescent="0.25">
      <c r="C30" s="139"/>
      <c r="D30" s="140"/>
      <c r="E30" s="78" t="str">
        <f>'EBM00239'!C25</f>
        <v>Baukosten</v>
      </c>
      <c r="F30" s="140"/>
      <c r="G30" s="140"/>
      <c r="H30" s="140"/>
      <c r="I30" s="140"/>
      <c r="J30" s="115"/>
      <c r="K30" s="115"/>
      <c r="L30" s="141" t="str">
        <f>IF(INDEX('EBM00239'!B:B,MATCH(E30,'EBM00239'!C:C,0))=0,"",INDEX('EBM00239'!B:B,MATCH(E30,'EBM00239'!C:C,0)))</f>
        <v>8110060M</v>
      </c>
      <c r="M30" s="147"/>
      <c r="N30" s="141">
        <f>VLOOKUP(L30,'EBM00239'!B:F,3,FALSE)</f>
        <v>1</v>
      </c>
      <c r="O30" s="144"/>
      <c r="P30" s="371">
        <f>IFERROR(VLOOKUP(L30,'EBM00239'!$B:$F,4,),)</f>
        <v>74.074074074074076</v>
      </c>
      <c r="Q30" s="144"/>
      <c r="R30" s="189"/>
      <c r="S30" s="85"/>
      <c r="T30" s="144"/>
      <c r="U30" s="84"/>
      <c r="V30" s="84"/>
      <c r="W30" s="144"/>
      <c r="X30" s="136"/>
    </row>
    <row r="31" spans="3:24" s="131" customFormat="1" x14ac:dyDescent="0.25">
      <c r="C31" s="139"/>
      <c r="D31" s="140"/>
      <c r="E31" s="78" t="str">
        <f>'EBM00239'!C26</f>
        <v>Entwicklungskosten AESCU.nano</v>
      </c>
      <c r="F31" s="140"/>
      <c r="G31" s="140"/>
      <c r="H31" s="140"/>
      <c r="I31" s="140"/>
      <c r="J31" s="115"/>
      <c r="K31" s="115"/>
      <c r="L31" s="141" t="str">
        <f>IF(INDEX('EBM00239'!B:B,MATCH(E31,'EBM00239'!C:C,0))=0,"",INDEX('EBM00239'!B:B,MATCH(E31,'EBM00239'!C:C,0)))</f>
        <v>8300000M</v>
      </c>
      <c r="M31" s="147"/>
      <c r="N31" s="141">
        <f>VLOOKUP(L31,'EBM00239'!B:F,3,FALSE)</f>
        <v>1</v>
      </c>
      <c r="O31" s="144"/>
      <c r="P31" s="371">
        <f>IFERROR(VLOOKUP(L31,'EBM00239'!$B:$F,4,),)</f>
        <v>41.76543209876543</v>
      </c>
      <c r="Q31" s="144"/>
      <c r="R31" s="189"/>
      <c r="S31" s="85"/>
      <c r="T31" s="144"/>
      <c r="U31" s="84"/>
      <c r="V31" s="84"/>
      <c r="W31" s="144"/>
      <c r="X31" s="136"/>
    </row>
    <row r="32" spans="3:24" s="131" customFormat="1" x14ac:dyDescent="0.25">
      <c r="C32" s="139"/>
      <c r="D32" s="140"/>
      <c r="E32" s="78" t="str">
        <f>'EBM00239'!C27</f>
        <v>Kabel SATA gewinkelt, 30cm, gelb, intern, mit Clip</v>
      </c>
      <c r="F32" s="140"/>
      <c r="G32" s="140"/>
      <c r="H32" s="140"/>
      <c r="I32" s="140"/>
      <c r="J32" s="115"/>
      <c r="K32" s="115"/>
      <c r="L32" s="141" t="str">
        <f>IF(INDEX('EBM00239'!B:B,MATCH(E32,'EBM00239'!C:C,0))=0,"",INDEX('EBM00239'!B:B,MATCH(E32,'EBM00239'!C:C,0)))</f>
        <v>7100074M-1</v>
      </c>
      <c r="M32" s="147"/>
      <c r="N32" s="141">
        <f>SUM(N41+N44)</f>
        <v>1</v>
      </c>
      <c r="O32" s="144"/>
      <c r="P32" s="371">
        <f>IFERROR(VLOOKUP(L32,'EBM00239'!$B:$F,4,),)</f>
        <v>0.7407407407407407</v>
      </c>
      <c r="Q32" s="144"/>
      <c r="R32" s="189"/>
      <c r="S32" s="85"/>
      <c r="T32" s="144"/>
      <c r="U32" s="84"/>
      <c r="V32" s="84"/>
      <c r="W32" s="144"/>
      <c r="X32" s="136"/>
    </row>
    <row r="33" spans="2:24" s="3" customFormat="1" ht="5.25" customHeight="1" x14ac:dyDescent="0.25">
      <c r="C33" s="60"/>
      <c r="K33" s="131"/>
      <c r="L33" s="30"/>
      <c r="M33" s="45"/>
      <c r="N33" s="30"/>
      <c r="O33" s="144"/>
      <c r="P33" s="371"/>
      <c r="Q33" s="144"/>
      <c r="R33" s="144"/>
      <c r="S33" s="144"/>
      <c r="T33" s="144"/>
      <c r="U33" s="84">
        <f t="shared" ref="U33:U39" si="1">N33*P33</f>
        <v>0</v>
      </c>
      <c r="V33" s="84"/>
      <c r="W33" s="144"/>
      <c r="X33" s="19"/>
    </row>
    <row r="34" spans="2:24" s="3" customFormat="1" x14ac:dyDescent="0.25">
      <c r="B34" s="135" t="s">
        <v>570</v>
      </c>
      <c r="C34" s="60"/>
      <c r="E34" s="89"/>
      <c r="F34" s="89"/>
      <c r="G34" s="89"/>
      <c r="H34" s="89"/>
      <c r="I34" s="89"/>
      <c r="J34" s="87"/>
      <c r="K34" s="176"/>
      <c r="L34" s="30"/>
      <c r="M34" s="100"/>
      <c r="N34" s="30"/>
      <c r="O34" s="144"/>
      <c r="P34" s="371"/>
      <c r="Q34" s="144"/>
      <c r="R34" s="189"/>
      <c r="S34" s="85"/>
      <c r="T34" s="144"/>
      <c r="U34" s="84">
        <f t="shared" si="1"/>
        <v>0</v>
      </c>
      <c r="V34" s="84"/>
      <c r="W34" s="144"/>
      <c r="X34" s="19"/>
    </row>
    <row r="35" spans="2:24" s="3" customFormat="1" ht="5.25" customHeight="1" x14ac:dyDescent="0.25">
      <c r="C35" s="60"/>
      <c r="K35" s="131"/>
      <c r="L35" s="30"/>
      <c r="M35" s="45"/>
      <c r="N35" s="30"/>
      <c r="O35" s="144"/>
      <c r="P35" s="371"/>
      <c r="Q35" s="144"/>
      <c r="R35" s="144"/>
      <c r="S35" s="144"/>
      <c r="T35" s="144"/>
      <c r="U35" s="84">
        <f t="shared" si="1"/>
        <v>0</v>
      </c>
      <c r="V35" s="84"/>
      <c r="W35" s="144"/>
      <c r="X35" s="19"/>
    </row>
    <row r="36" spans="2:24" s="3" customFormat="1" x14ac:dyDescent="0.25">
      <c r="C36" s="60" t="s">
        <v>44</v>
      </c>
      <c r="E36" s="387" t="s">
        <v>789</v>
      </c>
      <c r="F36" s="388"/>
      <c r="G36" s="388"/>
      <c r="H36" s="388"/>
      <c r="I36" s="389"/>
      <c r="J36" s="87"/>
      <c r="K36" s="176"/>
      <c r="L36" s="30">
        <f>IF(INDEX('EBM00239'!B:B,MATCH(E36,'EBM00239'!C:C,0))=0,"",INDEX('EBM00239'!B:B,MATCH(E36,'EBM00239'!C:C,0)))</f>
        <v>2180007</v>
      </c>
      <c r="M36" s="100"/>
      <c r="N36" s="30">
        <f>VLOOKUP(L36,'EBM00239'!B:F,3,FALSE)</f>
        <v>1</v>
      </c>
      <c r="O36" s="144" t="str">
        <f>IFERROR(VLOOKUP(L36,#REF!,4,FALSE),"")</f>
        <v/>
      </c>
      <c r="P36" s="371">
        <f>IFERROR(VLOOKUP(L36,'EBM00239'!$B:$F,4,),)</f>
        <v>159.25925925925924</v>
      </c>
      <c r="Q36" s="85"/>
      <c r="R36" s="189"/>
      <c r="S36" s="85"/>
      <c r="T36" s="144"/>
      <c r="U36" s="84">
        <f t="shared" si="1"/>
        <v>159.25925925925924</v>
      </c>
      <c r="V36" s="84"/>
      <c r="W36" s="144"/>
      <c r="X36" s="19"/>
    </row>
    <row r="37" spans="2:24" s="3" customFormat="1" ht="5.25" customHeight="1" x14ac:dyDescent="0.25">
      <c r="C37" s="60"/>
      <c r="K37" s="131"/>
      <c r="L37" s="30"/>
      <c r="M37" s="45"/>
      <c r="N37" s="30"/>
      <c r="O37" s="144"/>
      <c r="P37" s="371"/>
      <c r="Q37" s="85"/>
      <c r="R37" s="190"/>
      <c r="S37" s="85"/>
      <c r="T37" s="144"/>
      <c r="U37" s="84">
        <f t="shared" si="1"/>
        <v>0</v>
      </c>
      <c r="V37" s="84"/>
      <c r="W37" s="144"/>
      <c r="X37" s="19"/>
    </row>
    <row r="38" spans="2:24" s="3" customFormat="1" x14ac:dyDescent="0.25">
      <c r="C38" s="60" t="s">
        <v>1</v>
      </c>
      <c r="E38" s="387" t="s">
        <v>796</v>
      </c>
      <c r="F38" s="388"/>
      <c r="G38" s="388"/>
      <c r="H38" s="388"/>
      <c r="I38" s="389"/>
      <c r="J38" s="87">
        <v>1</v>
      </c>
      <c r="K38" s="176"/>
      <c r="L38" s="30" t="str">
        <f>IF(INDEX('EBM00239'!B:B,MATCH(E38,'EBM00239'!C:C,0))=0,"",INDEX('EBM00239'!B:B,MATCH(E38,'EBM00239'!C:C,0)))</f>
        <v>3300017M</v>
      </c>
      <c r="M38" s="100"/>
      <c r="N38" s="67">
        <v>1</v>
      </c>
      <c r="O38" s="144" t="str">
        <f>IFERROR(VLOOKUP(L38,#REF!,4,FALSE),"")</f>
        <v/>
      </c>
      <c r="P38" s="371">
        <f>IFERROR(VLOOKUP(L38,'EBM00239'!$B:$F,4,),)</f>
        <v>41.975308641975303</v>
      </c>
      <c r="Q38" s="85"/>
      <c r="R38" s="189"/>
      <c r="S38" s="85"/>
      <c r="T38" s="144"/>
      <c r="U38" s="84">
        <f t="shared" si="1"/>
        <v>41.975308641975303</v>
      </c>
      <c r="V38" s="84"/>
      <c r="W38" s="144"/>
      <c r="X38" s="19"/>
    </row>
    <row r="39" spans="2:24" s="3" customFormat="1" ht="5.25" customHeight="1" x14ac:dyDescent="0.25">
      <c r="C39" s="60"/>
      <c r="J39" s="3">
        <v>2</v>
      </c>
      <c r="K39" s="131"/>
      <c r="L39" s="30"/>
      <c r="M39" s="45"/>
      <c r="N39" s="30"/>
      <c r="O39" s="144"/>
      <c r="P39" s="371"/>
      <c r="Q39" s="85"/>
      <c r="R39" s="190"/>
      <c r="S39" s="85"/>
      <c r="T39" s="144"/>
      <c r="U39" s="84">
        <f t="shared" si="1"/>
        <v>0</v>
      </c>
      <c r="V39" s="84"/>
      <c r="W39" s="144"/>
      <c r="X39" s="19"/>
    </row>
    <row r="40" spans="2:24" s="131" customFormat="1" ht="15" customHeight="1" x14ac:dyDescent="0.25">
      <c r="C40" s="145"/>
      <c r="E40" s="392" t="str">
        <f>IF(ISNA(VLOOKUP(L40,A:B,2,FALSE)),"",VLOOKUP(L40,A:B,2,FALSE))</f>
        <v>Betriebssystem auf folgenden Datenträger:</v>
      </c>
      <c r="F40" s="392"/>
      <c r="G40" s="392"/>
      <c r="H40" s="392"/>
      <c r="I40" s="392"/>
      <c r="K40" s="170" t="s">
        <v>693</v>
      </c>
      <c r="L40" s="177" t="str">
        <f>IF(K41="Ja","8120067M","")</f>
        <v>8120067M</v>
      </c>
      <c r="M40" s="144"/>
      <c r="N40" s="141">
        <f>IF(L40="8120067M",1,"")</f>
        <v>1</v>
      </c>
      <c r="O40" s="144"/>
      <c r="P40" s="371"/>
      <c r="Q40" s="85"/>
      <c r="R40" s="190"/>
      <c r="S40" s="85"/>
      <c r="T40" s="144"/>
      <c r="U40" s="84"/>
      <c r="V40" s="84"/>
      <c r="W40" s="144"/>
      <c r="X40" s="136"/>
    </row>
    <row r="41" spans="2:24" s="3" customFormat="1" x14ac:dyDescent="0.25">
      <c r="C41" s="151" t="s">
        <v>531</v>
      </c>
      <c r="E41" s="387" t="s">
        <v>563</v>
      </c>
      <c r="F41" s="388"/>
      <c r="G41" s="388"/>
      <c r="H41" s="388"/>
      <c r="I41" s="389"/>
      <c r="J41" s="180" t="str">
        <f>IF(K41="Nein","0","1")</f>
        <v>1</v>
      </c>
      <c r="K41" s="67" t="s">
        <v>256</v>
      </c>
      <c r="L41" s="30" t="str">
        <f>IF(INDEX('EBM00239'!B:B,MATCH(E41,'EBM00239'!C:C,0))=0,"",INDEX('EBM00239'!B:B,MATCH(E41,'EBM00239'!C:C,0)))</f>
        <v>3400044M</v>
      </c>
      <c r="M41" s="100"/>
      <c r="N41" s="30">
        <f>VLOOKUP(L41,'EBM00239'!B:F,3,FALSE)</f>
        <v>1</v>
      </c>
      <c r="O41" s="144" t="str">
        <f>IFERROR(VLOOKUP(L41,#REF!,4,FALSE),"")</f>
        <v/>
      </c>
      <c r="P41" s="371">
        <f>IFERROR(VLOOKUP(L41,'EBM00239'!$B:$F,4,),)</f>
        <v>54.876543209876544</v>
      </c>
      <c r="Q41" s="85"/>
      <c r="R41" s="189"/>
      <c r="S41" s="85"/>
      <c r="T41" s="144"/>
      <c r="U41" s="84">
        <f>N41*P41</f>
        <v>54.876543209876544</v>
      </c>
      <c r="V41" s="84"/>
      <c r="W41" s="144"/>
      <c r="X41" s="19"/>
    </row>
    <row r="42" spans="2:24" s="3" customFormat="1" ht="6.75" customHeight="1" x14ac:dyDescent="0.25">
      <c r="C42" s="145"/>
      <c r="J42" s="131"/>
      <c r="K42" s="176"/>
      <c r="L42" s="30"/>
      <c r="M42" s="100"/>
      <c r="N42" s="30"/>
      <c r="O42" s="144"/>
      <c r="P42" s="371"/>
      <c r="Q42" s="85"/>
      <c r="R42" s="189"/>
      <c r="S42" s="85"/>
      <c r="T42" s="144"/>
      <c r="U42" s="84">
        <f>N42*P42</f>
        <v>0</v>
      </c>
      <c r="V42" s="84"/>
      <c r="W42" s="144"/>
      <c r="X42" s="19"/>
    </row>
    <row r="43" spans="2:24" s="131" customFormat="1" ht="15" customHeight="1" x14ac:dyDescent="0.25">
      <c r="C43" s="145"/>
      <c r="E43" s="392" t="str">
        <f>IF(ISNA(VLOOKUP(L43,A:B,2,FALSE)),"",VLOOKUP(L43,A:B,2,FALSE))</f>
        <v/>
      </c>
      <c r="F43" s="392"/>
      <c r="G43" s="392"/>
      <c r="H43" s="392"/>
      <c r="I43" s="392"/>
      <c r="K43" s="176"/>
      <c r="L43" s="177" t="str">
        <f>IF(K44="Ja","8120067M","")</f>
        <v/>
      </c>
      <c r="M43" s="144"/>
      <c r="N43" s="141" t="str">
        <f>IF(L43="8120067M",1,"")</f>
        <v/>
      </c>
      <c r="O43" s="144"/>
      <c r="P43" s="371"/>
      <c r="Q43" s="85"/>
      <c r="R43" s="189"/>
      <c r="S43" s="85"/>
      <c r="T43" s="144"/>
      <c r="U43" s="84"/>
      <c r="V43" s="84"/>
      <c r="W43" s="144"/>
      <c r="X43" s="136"/>
    </row>
    <row r="44" spans="2:24" s="3" customFormat="1" x14ac:dyDescent="0.25">
      <c r="C44" s="145" t="s">
        <v>532</v>
      </c>
      <c r="E44" s="387" t="s">
        <v>178</v>
      </c>
      <c r="F44" s="388"/>
      <c r="G44" s="388"/>
      <c r="H44" s="388"/>
      <c r="I44" s="389"/>
      <c r="J44" s="180" t="str">
        <f>IF(K44="Nein","0","1")</f>
        <v>0</v>
      </c>
      <c r="K44" s="67" t="s">
        <v>257</v>
      </c>
      <c r="L44" s="30" t="str">
        <f>IF(INDEX('EBM00239'!B:B,MATCH(E44,'EBM00239'!C:C,0))=0,"",INDEX('EBM00239'!B:B,MATCH(E44,'EBM00239'!C:C,0)))</f>
        <v>---</v>
      </c>
      <c r="M44" s="100"/>
      <c r="N44" s="30">
        <f>VLOOKUP(L44,'EBM00239'!B:F,3,FALSE)</f>
        <v>0</v>
      </c>
      <c r="O44" s="144" t="str">
        <f>IFERROR(VLOOKUP(L44,#REF!,4,FALSE),"")</f>
        <v/>
      </c>
      <c r="P44" s="371">
        <f>IFERROR(VLOOKUP(L44,'EBM00239'!$B:$F,4,),)</f>
        <v>0</v>
      </c>
      <c r="Q44" s="85"/>
      <c r="R44" s="189"/>
      <c r="S44" s="85"/>
      <c r="T44" s="144"/>
      <c r="U44" s="84">
        <f t="shared" ref="U44:U55" si="2">N44*P44</f>
        <v>0</v>
      </c>
      <c r="V44" s="84"/>
      <c r="W44" s="144"/>
      <c r="X44" s="19"/>
    </row>
    <row r="45" spans="2:24" s="3" customFormat="1" ht="5.25" customHeight="1" x14ac:dyDescent="0.25">
      <c r="C45" s="60"/>
      <c r="K45" s="131"/>
      <c r="L45" s="30"/>
      <c r="M45" s="100"/>
      <c r="N45" s="30"/>
      <c r="O45" s="144"/>
      <c r="P45" s="371"/>
      <c r="Q45" s="144"/>
      <c r="R45" s="190"/>
      <c r="S45" s="144"/>
      <c r="T45" s="144"/>
      <c r="U45" s="84">
        <f t="shared" si="2"/>
        <v>0</v>
      </c>
      <c r="V45" s="84"/>
      <c r="W45" s="144"/>
      <c r="X45" s="19"/>
    </row>
    <row r="46" spans="2:24" s="3" customFormat="1" x14ac:dyDescent="0.25">
      <c r="C46" s="60"/>
      <c r="E46" s="87" t="str">
        <f>'EBM00239'!C59</f>
        <v>M3x4 Senkkopfschraube (1x HDD/SSD = 4 Stück, 2x HDD/SSD = 7 Stück)</v>
      </c>
      <c r="F46" s="87"/>
      <c r="G46" s="87"/>
      <c r="H46" s="87"/>
      <c r="I46" s="87"/>
      <c r="J46" s="87"/>
      <c r="K46" s="176"/>
      <c r="L46" s="30">
        <f>IF(INDEX('EBM00239'!B:B,MATCH(E46,'EBM00239'!C:C,0))=0,"",INDEX('EBM00239'!B:B,MATCH(E46,'EBM00239'!C:C,0)))</f>
        <v>9824531</v>
      </c>
      <c r="M46" s="101"/>
      <c r="N46" s="30">
        <f>IF(E44="---",4,7)</f>
        <v>4</v>
      </c>
      <c r="O46" s="144" t="str">
        <f>IFERROR(VLOOKUP(L46,#REF!,4,FALSE),"")</f>
        <v/>
      </c>
      <c r="P46" s="371">
        <f>IFERROR(VLOOKUP(L46,'EBM00239'!$B:$F,4,),)</f>
        <v>7.407407407407407E-2</v>
      </c>
      <c r="Q46" s="85"/>
      <c r="R46" s="418"/>
      <c r="S46" s="374"/>
      <c r="T46" s="144"/>
      <c r="U46" s="84">
        <f t="shared" si="2"/>
        <v>0.29629629629629628</v>
      </c>
      <c r="V46" s="84"/>
      <c r="W46" s="144"/>
      <c r="X46" s="19"/>
    </row>
    <row r="47" spans="2:24" s="3" customFormat="1" ht="8.25" customHeight="1" x14ac:dyDescent="0.25">
      <c r="C47" s="60"/>
      <c r="K47" s="131"/>
      <c r="L47" s="88"/>
      <c r="M47" s="45"/>
      <c r="N47" s="88"/>
      <c r="O47" s="144"/>
      <c r="P47" s="50"/>
      <c r="Q47" s="144"/>
      <c r="R47" s="144"/>
      <c r="S47" s="144"/>
      <c r="T47" s="144"/>
      <c r="U47" s="84">
        <f t="shared" si="2"/>
        <v>0</v>
      </c>
      <c r="V47" s="84"/>
      <c r="W47" s="144"/>
      <c r="X47" s="19"/>
    </row>
    <row r="48" spans="2:24" s="3" customFormat="1" x14ac:dyDescent="0.25">
      <c r="C48" s="60" t="s">
        <v>574</v>
      </c>
      <c r="E48" s="387" t="s">
        <v>257</v>
      </c>
      <c r="F48" s="388"/>
      <c r="G48" s="388"/>
      <c r="H48" s="388"/>
      <c r="I48" s="389"/>
      <c r="K48" s="131"/>
      <c r="L48" s="91"/>
      <c r="M48" s="45"/>
      <c r="N48" s="91"/>
      <c r="O48" s="144" t="str">
        <f>IFERROR(VLOOKUP(L48,#REF!,4,FALSE),"")</f>
        <v/>
      </c>
      <c r="P48" s="50"/>
      <c r="Q48" s="144"/>
      <c r="R48" s="144"/>
      <c r="S48" s="144"/>
      <c r="T48" s="144"/>
      <c r="U48" s="84">
        <f t="shared" si="2"/>
        <v>0</v>
      </c>
      <c r="V48" s="84"/>
      <c r="W48" s="144"/>
      <c r="X48" s="19"/>
    </row>
    <row r="49" spans="2:24" s="3" customFormat="1" x14ac:dyDescent="0.25">
      <c r="C49" s="60"/>
      <c r="E49" s="90" t="str">
        <f>IF(E48="Ja",'EBM00239'!C63,"---")</f>
        <v>---</v>
      </c>
      <c r="K49" s="131"/>
      <c r="L49" s="30" t="str">
        <f>IF(INDEX('EBM00239'!B:B,MATCH(E49,'EBM00239'!C:C,0))=0,"",INDEX('EBM00239'!B:B,MATCH(E49,'EBM00239'!C:C,0)))</f>
        <v>---</v>
      </c>
      <c r="M49" s="45"/>
      <c r="N49" s="30">
        <f>VLOOKUP(L49,'EBM00239'!B:F,3,FALSE)</f>
        <v>0</v>
      </c>
      <c r="O49" s="144" t="str">
        <f>IFERROR(VLOOKUP(L49,#REF!,4,FALSE),"")</f>
        <v/>
      </c>
      <c r="P49" s="371">
        <f>IFERROR(VLOOKUP(L49,'EBM00239'!$B:$F,4,),)</f>
        <v>0</v>
      </c>
      <c r="Q49" s="144"/>
      <c r="R49" s="144"/>
      <c r="S49" s="144"/>
      <c r="T49" s="144"/>
      <c r="U49" s="84">
        <f t="shared" si="2"/>
        <v>0</v>
      </c>
      <c r="V49" s="84"/>
      <c r="W49" s="144"/>
      <c r="X49" s="19"/>
    </row>
    <row r="50" spans="2:24" s="3" customFormat="1" x14ac:dyDescent="0.25">
      <c r="C50" s="60"/>
      <c r="E50" s="90" t="str">
        <f>IF(E48="Ja",'EBM00239'!C64,"---")</f>
        <v>---</v>
      </c>
      <c r="K50" s="131"/>
      <c r="L50" s="30" t="str">
        <f>IF(INDEX('EBM00239'!B:B,MATCH(E50,'EBM00239'!C:C,0))=0,"",INDEX('EBM00239'!B:B,MATCH(E50,'EBM00239'!C:C,0)))</f>
        <v>---</v>
      </c>
      <c r="M50" s="45"/>
      <c r="N50" s="30">
        <f>VLOOKUP(L50,'EBM00239'!B:F,3,FALSE)</f>
        <v>0</v>
      </c>
      <c r="O50" s="144" t="str">
        <f>IFERROR(VLOOKUP(L50,#REF!,4,FALSE),"")</f>
        <v/>
      </c>
      <c r="P50" s="371">
        <f>IFERROR(VLOOKUP(L50,'EBM00239'!$B:$F,4,),)</f>
        <v>0</v>
      </c>
      <c r="Q50" s="144"/>
      <c r="R50" s="144"/>
      <c r="S50" s="144"/>
      <c r="T50" s="144"/>
      <c r="U50" s="84">
        <f t="shared" si="2"/>
        <v>0</v>
      </c>
      <c r="V50" s="84"/>
      <c r="W50" s="144"/>
      <c r="X50" s="19"/>
    </row>
    <row r="51" spans="2:24" s="3" customFormat="1" x14ac:dyDescent="0.25">
      <c r="C51" s="60"/>
      <c r="E51" s="94" t="str">
        <f>IF(E48="Ja",'EBM00239'!C65,"---")</f>
        <v>---</v>
      </c>
      <c r="K51" s="131"/>
      <c r="L51" s="30" t="str">
        <f>IF(INDEX('EBM00239'!B:B,MATCH(E51,'EBM00239'!C:C,0))=0,"",INDEX('EBM00239'!B:B,MATCH(E51,'EBM00239'!C:C,0)))</f>
        <v>---</v>
      </c>
      <c r="M51" s="45"/>
      <c r="N51" s="30">
        <f>VLOOKUP(L51,'EBM00239'!B:F,3,FALSE)</f>
        <v>0</v>
      </c>
      <c r="O51" s="144" t="str">
        <f>IFERROR(VLOOKUP(L51,#REF!,4,FALSE),"")</f>
        <v/>
      </c>
      <c r="P51" s="371">
        <f>IFERROR(VLOOKUP(L51,'EBM00239'!$B:$F,4,),)</f>
        <v>0</v>
      </c>
      <c r="Q51" s="144"/>
      <c r="R51" s="144"/>
      <c r="S51" s="144"/>
      <c r="T51" s="144"/>
      <c r="U51" s="84">
        <f t="shared" si="2"/>
        <v>0</v>
      </c>
      <c r="V51" s="84"/>
      <c r="W51" s="144"/>
      <c r="X51" s="19"/>
    </row>
    <row r="52" spans="2:24" s="3" customFormat="1" x14ac:dyDescent="0.25">
      <c r="C52" s="60"/>
      <c r="E52" s="92" t="str">
        <f>IF(E48="Ja",'EBM00239'!C66,"---")</f>
        <v>---</v>
      </c>
      <c r="K52" s="131"/>
      <c r="L52" s="30" t="str">
        <f>IF(INDEX('EBM00239'!B:B,MATCH(E52,'EBM00239'!C:C,0))=0,"",INDEX('EBM00239'!B:B,MATCH(E52,'EBM00239'!C:C,0)))</f>
        <v>---</v>
      </c>
      <c r="M52" s="45"/>
      <c r="N52" s="30">
        <f>VLOOKUP(L52,'EBM00239'!B:F,3,FALSE)</f>
        <v>0</v>
      </c>
      <c r="O52" s="144" t="str">
        <f>IFERROR(VLOOKUP(L52,#REF!,4,FALSE),"")</f>
        <v/>
      </c>
      <c r="P52" s="371">
        <f>IFERROR(VLOOKUP(L52,'EBM00239'!$B:$F,4,),)</f>
        <v>0</v>
      </c>
      <c r="Q52" s="144"/>
      <c r="R52" s="144"/>
      <c r="S52" s="144"/>
      <c r="T52" s="144"/>
      <c r="U52" s="84">
        <f t="shared" si="2"/>
        <v>0</v>
      </c>
      <c r="V52" s="84"/>
      <c r="W52" s="144"/>
      <c r="X52" s="19"/>
    </row>
    <row r="53" spans="2:24" s="3" customFormat="1" x14ac:dyDescent="0.25">
      <c r="C53" s="60"/>
      <c r="K53" s="131"/>
      <c r="L53" s="91"/>
      <c r="M53" s="45"/>
      <c r="N53" s="91"/>
      <c r="O53" s="144" t="str">
        <f>IFERROR(VLOOKUP(L53,#REF!,4,FALSE),"")</f>
        <v/>
      </c>
      <c r="P53" s="50"/>
      <c r="Q53" s="144"/>
      <c r="R53" s="144"/>
      <c r="S53" s="144"/>
      <c r="T53" s="144"/>
      <c r="U53" s="84">
        <f t="shared" si="2"/>
        <v>0</v>
      </c>
      <c r="V53" s="84"/>
      <c r="W53" s="144"/>
      <c r="X53" s="19"/>
    </row>
    <row r="54" spans="2:24" s="3" customFormat="1" x14ac:dyDescent="0.25">
      <c r="C54" s="145" t="s">
        <v>538</v>
      </c>
      <c r="E54" s="387" t="s">
        <v>178</v>
      </c>
      <c r="F54" s="388"/>
      <c r="G54" s="388"/>
      <c r="H54" s="388"/>
      <c r="I54" s="389"/>
      <c r="J54" s="87">
        <f>VLOOKUP(E54,'EBM00239'!C69:K72,9,FALSE)</f>
        <v>0</v>
      </c>
      <c r="K54" s="176"/>
      <c r="L54" s="30" t="str">
        <f>IF(INDEX('EBM00239'!B:B,MATCH(E54,'EBM00239'!C:C,0))=0,"",INDEX('EBM00239'!B:B,MATCH(E54,'EBM00239'!C:C,0)))</f>
        <v>---</v>
      </c>
      <c r="M54" s="100">
        <f>VLOOKUP(L54,'EBM00239'!B69:K71,10,FALSE)</f>
        <v>0</v>
      </c>
      <c r="N54" s="30">
        <f>VLOOKUP(L54,'EBM00239'!B:F,3,FALSE)</f>
        <v>0</v>
      </c>
      <c r="O54" s="144"/>
      <c r="P54" s="371">
        <f>IFERROR(VLOOKUP(L54,'EBM00239'!$B:$F,4,),)</f>
        <v>0</v>
      </c>
      <c r="Q54" s="144"/>
      <c r="R54" s="189"/>
      <c r="S54" s="85"/>
      <c r="T54" s="144"/>
      <c r="U54" s="84">
        <f t="shared" si="2"/>
        <v>0</v>
      </c>
      <c r="V54" s="84"/>
      <c r="W54" s="144"/>
      <c r="X54" s="19"/>
    </row>
    <row r="55" spans="2:24" s="3" customFormat="1" x14ac:dyDescent="0.25">
      <c r="C55" s="60"/>
      <c r="E55" s="405" t="str">
        <f>VLOOKUP(J55,'EBM00239'!A76:C77,3,FALSE)</f>
        <v>BIOS MCD AN (R1.23.0) WIN10 D3433-S</v>
      </c>
      <c r="F55" s="392"/>
      <c r="G55" s="392"/>
      <c r="H55" s="392"/>
      <c r="I55" s="392"/>
      <c r="J55" s="131" t="str">
        <f>IF(L54="4100016M","BIOS_IGEL","BIOS_10")</f>
        <v>BIOS_10</v>
      </c>
      <c r="K55" s="176"/>
      <c r="L55" s="96" t="str">
        <f>IFERROR(IF(INDEX('EBM00239'!B:B,MATCH(E55,'EBM00239'!C:C,0))=0,"",INDEX('EBM00239'!B:B,MATCH(E55,'EBM00239'!C:C,0))),"")</f>
        <v>8120072M</v>
      </c>
      <c r="M55" s="45"/>
      <c r="N55" s="96">
        <f>IF(L56="",0,1)</f>
        <v>1</v>
      </c>
      <c r="O55" s="144"/>
      <c r="P55" s="371">
        <f>IFERROR(VLOOKUP(L55,'EBM00239'!$B:$F,4,),)</f>
        <v>0</v>
      </c>
      <c r="Q55" s="144"/>
      <c r="R55" s="189"/>
      <c r="S55" s="85"/>
      <c r="T55" s="144"/>
      <c r="U55" s="84">
        <f t="shared" si="2"/>
        <v>0</v>
      </c>
      <c r="V55" s="84"/>
      <c r="W55" s="144"/>
      <c r="X55" s="19"/>
    </row>
    <row r="56" spans="2:24" s="3" customFormat="1" x14ac:dyDescent="0.25">
      <c r="C56" s="60"/>
      <c r="E56" s="3" t="str">
        <f>IF(L54&lt;&gt;"4100016M",VLOOKUP(J54,'EBM00239'!A70:C77,3,FALSE),"")</f>
        <v>Formatierung Festplatte (S0 Kill)</v>
      </c>
      <c r="K56" s="131"/>
      <c r="L56" s="96" t="str">
        <f>IFERROR(IF(INDEX('EBM00239'!B:B,MATCH(E56,'EBM00239'!C:C,0))=0,"",INDEX('EBM00239'!B:B,MATCH(E56,'EBM00239'!C:C,0))),"")</f>
        <v>8120002M</v>
      </c>
      <c r="M56" s="45"/>
      <c r="N56" s="30">
        <f>IFERROR(VLOOKUP(L56,'EBM00239'!B:F,3,FALSE),"")</f>
        <v>1</v>
      </c>
      <c r="O56" s="144"/>
      <c r="P56" s="371">
        <f>IFERROR(VLOOKUP(L56,'EBM00239'!$B:$F,4,),)</f>
        <v>0</v>
      </c>
      <c r="Q56" s="144"/>
      <c r="R56" s="189"/>
      <c r="S56" s="85"/>
      <c r="T56" s="144"/>
      <c r="U56" s="84">
        <f>IFERROR(N56*P56,"")</f>
        <v>0</v>
      </c>
      <c r="V56" s="84"/>
      <c r="W56" s="144"/>
      <c r="X56" s="19"/>
    </row>
    <row r="57" spans="2:24" s="3" customFormat="1" ht="4.5" customHeight="1" x14ac:dyDescent="0.25">
      <c r="C57" s="60"/>
      <c r="E57" s="60"/>
      <c r="F57" s="60"/>
      <c r="G57" s="60"/>
      <c r="H57" s="60"/>
      <c r="I57" s="60"/>
      <c r="K57" s="131"/>
      <c r="L57" s="88"/>
      <c r="M57" s="100"/>
      <c r="N57" s="88"/>
      <c r="O57" s="144"/>
      <c r="P57" s="371"/>
      <c r="Q57" s="144"/>
      <c r="R57" s="189"/>
      <c r="S57" s="85"/>
      <c r="T57" s="144"/>
      <c r="U57" s="84">
        <f>N57*P57</f>
        <v>0</v>
      </c>
      <c r="V57" s="84"/>
      <c r="W57" s="144"/>
      <c r="X57" s="19"/>
    </row>
    <row r="58" spans="2:24" x14ac:dyDescent="0.25">
      <c r="B58" s="135" t="s">
        <v>539</v>
      </c>
      <c r="C58" s="12"/>
      <c r="U58" s="84">
        <f>N58*P58</f>
        <v>0</v>
      </c>
      <c r="V58" s="84"/>
      <c r="W58" s="148"/>
    </row>
    <row r="59" spans="2:24" x14ac:dyDescent="0.25">
      <c r="B59" s="153" t="s">
        <v>540</v>
      </c>
      <c r="C59" s="12"/>
      <c r="U59" s="148"/>
      <c r="V59" s="148"/>
      <c r="W59" s="148"/>
    </row>
    <row r="60" spans="2:24" x14ac:dyDescent="0.25">
      <c r="C60" s="12"/>
      <c r="E60" s="33" t="str">
        <f>'EBM00239'!C30</f>
        <v>Herstellanweisung MCD Medical Line AESCU.nano</v>
      </c>
      <c r="F60" s="33"/>
      <c r="G60" s="33"/>
      <c r="H60" s="33"/>
      <c r="I60" s="33"/>
      <c r="J60" s="33"/>
      <c r="K60" s="142"/>
      <c r="L60" s="30" t="str">
        <f>IF(INDEX('EBM00239'!B:B,MATCH(E60,'EBM00239'!C:C,0))=0,"",INDEX('EBM00239'!B:B,MATCH(E60,'EBM00239'!C:C,0)))</f>
        <v>PMI00182_D</v>
      </c>
      <c r="N60" s="30" t="str">
        <f>VLOOKUP(L60,'EBM00239'!B:F,3,FALSE)</f>
        <v>---</v>
      </c>
      <c r="P60" s="373"/>
      <c r="Q60" s="374"/>
      <c r="R60" s="374"/>
      <c r="S60" s="374"/>
      <c r="U60" s="148"/>
      <c r="V60" s="148"/>
      <c r="W60" s="148"/>
    </row>
    <row r="61" spans="2:24" x14ac:dyDescent="0.25">
      <c r="C61" s="12"/>
      <c r="E61" s="33" t="str">
        <f>'EBM00239'!C31</f>
        <v>Prüfanweisung MCD Medical Line AESCU.nano</v>
      </c>
      <c r="F61" s="33"/>
      <c r="G61" s="33"/>
      <c r="H61" s="33"/>
      <c r="I61" s="33"/>
      <c r="J61" s="33"/>
      <c r="K61" s="142"/>
      <c r="L61" s="30" t="str">
        <f>IF(INDEX('EBM00239'!B:B,MATCH(E61,'EBM00239'!C:C,0))=0,"",INDEX('EBM00239'!B:B,MATCH(E61,'EBM00239'!C:C,0)))</f>
        <v>PTI00200_E</v>
      </c>
      <c r="N61" s="30" t="str">
        <f>VLOOKUP(L61,'EBM00239'!B:F,3,FALSE)</f>
        <v>---</v>
      </c>
      <c r="P61" s="373"/>
      <c r="Q61" s="374"/>
      <c r="R61" s="374"/>
      <c r="S61" s="374"/>
      <c r="U61" s="148"/>
      <c r="V61" s="148"/>
      <c r="W61" s="148"/>
    </row>
    <row r="62" spans="2:24" x14ac:dyDescent="0.25">
      <c r="C62" s="12"/>
      <c r="E62" s="33" t="str">
        <f>'EBM00239'!C32</f>
        <v>Verpackungsanweisung MCD Medical Line AESCU.nano</v>
      </c>
      <c r="F62" s="33"/>
      <c r="G62" s="33"/>
      <c r="H62" s="33"/>
      <c r="I62" s="33"/>
      <c r="J62" s="33"/>
      <c r="K62" s="142"/>
      <c r="L62" s="30" t="str">
        <f>IF(INDEX('EBM00239'!B:B,MATCH(E62,'EBM00239'!C:C,0))=0,"",INDEX('EBM00239'!B:B,MATCH(E62,'EBM00239'!C:C,0)))</f>
        <v>PPI00197_D</v>
      </c>
      <c r="N62" s="30" t="str">
        <f>VLOOKUP(L62,'EBM00239'!B:F,3,FALSE)</f>
        <v>---</v>
      </c>
      <c r="P62" s="373"/>
      <c r="Q62" s="374"/>
      <c r="R62" s="374"/>
      <c r="S62" s="374"/>
      <c r="U62" s="148"/>
      <c r="V62" s="148"/>
      <c r="W62" s="148"/>
    </row>
    <row r="63" spans="2:24" x14ac:dyDescent="0.25">
      <c r="C63" s="12"/>
      <c r="E63" s="33" t="str">
        <f>'EBM00239'!C33</f>
        <v>DHR MCD Medical Line AESCU.nano</v>
      </c>
      <c r="F63" s="33"/>
      <c r="G63" s="33"/>
      <c r="H63" s="33"/>
      <c r="I63" s="33"/>
      <c r="J63" s="33"/>
      <c r="K63" s="142"/>
      <c r="L63" s="30" t="str">
        <f>IF(INDEX('EBM00239'!B:B,MATCH(E63,'EBM00239'!C:C,0))=0,"",INDEX('EBM00239'!B:B,MATCH(E63,'EBM00239'!C:C,0)))</f>
        <v>PTR00292_E</v>
      </c>
      <c r="N63" s="30" t="str">
        <f>VLOOKUP(L63,'EBM00239'!B:F,3,FALSE)</f>
        <v>---</v>
      </c>
      <c r="P63" s="373"/>
      <c r="Q63" s="374"/>
      <c r="R63" s="374"/>
      <c r="S63" s="374"/>
      <c r="U63" s="148"/>
      <c r="V63" s="148"/>
      <c r="W63" s="148"/>
    </row>
    <row r="64" spans="2:24" x14ac:dyDescent="0.25">
      <c r="C64" s="12"/>
      <c r="E64" s="33" t="str">
        <f>'EBM00239'!C34</f>
        <v>Ratinglabel MCD Medical Line AESCU.nano</v>
      </c>
      <c r="F64" s="33"/>
      <c r="G64" s="33"/>
      <c r="H64" s="33"/>
      <c r="I64" s="33"/>
      <c r="J64" s="33"/>
      <c r="K64" s="142"/>
      <c r="L64" s="30" t="str">
        <f>IF(INDEX('EBM00239'!B:B,MATCH(E64,'EBM00239'!C:C,0))=0,"",INDEX('EBM00239'!B:B,MATCH(E64,'EBM00239'!C:C,0)))</f>
        <v>BB16-0007_C</v>
      </c>
      <c r="N64" s="30">
        <f>VLOOKUP(L64,'EBM00239'!B:F,3,FALSE)</f>
        <v>2</v>
      </c>
      <c r="P64" s="373"/>
      <c r="Q64" s="374"/>
      <c r="R64" s="374"/>
      <c r="S64" s="374"/>
      <c r="U64" s="148"/>
      <c r="V64" s="148"/>
      <c r="W64" s="148"/>
    </row>
    <row r="65" spans="2:23" x14ac:dyDescent="0.25">
      <c r="C65" s="12"/>
      <c r="E65" s="33" t="str">
        <f>'EBM00239'!C35</f>
        <v>AESCU.nano Transport- / Lagerbedingungen</v>
      </c>
      <c r="F65" s="33"/>
      <c r="G65" s="33"/>
      <c r="H65" s="33"/>
      <c r="I65" s="33"/>
      <c r="J65" s="33"/>
      <c r="K65" s="142"/>
      <c r="L65" s="30" t="str">
        <f>IF(INDEX('EBM00239'!B:B,MATCH(E65,'EBM00239'!C:C,0))=0,"",INDEX('EBM00239'!B:B,MATCH(E65,'EBM00239'!C:C,0)))</f>
        <v>BB17-0002_A</v>
      </c>
      <c r="N65" s="30">
        <f>VLOOKUP(L65,'EBM00239'!B:F,3,FALSE)</f>
        <v>1</v>
      </c>
      <c r="P65" s="373"/>
      <c r="Q65" s="374"/>
      <c r="R65" s="374"/>
      <c r="S65" s="374"/>
      <c r="U65" s="148"/>
      <c r="V65" s="148"/>
      <c r="W65" s="148"/>
    </row>
    <row r="66" spans="2:23" ht="5.25" customHeight="1" x14ac:dyDescent="0.25">
      <c r="C66" s="12"/>
      <c r="E66" s="33"/>
      <c r="F66" s="33"/>
      <c r="G66" s="33"/>
      <c r="H66" s="33"/>
      <c r="I66" s="33"/>
      <c r="J66" s="33"/>
      <c r="K66" s="142"/>
      <c r="L66" s="34"/>
      <c r="N66" s="33"/>
      <c r="U66" s="148"/>
      <c r="V66" s="148"/>
      <c r="W66" s="148"/>
    </row>
    <row r="67" spans="2:23" ht="20.25" x14ac:dyDescent="0.25">
      <c r="B67" s="129" t="s">
        <v>541</v>
      </c>
      <c r="C67" s="133"/>
      <c r="P67" s="374"/>
      <c r="Q67" s="374"/>
      <c r="R67" s="374"/>
      <c r="S67" s="374"/>
      <c r="U67" s="148"/>
      <c r="V67" s="148"/>
      <c r="W67" s="148"/>
    </row>
    <row r="68" spans="2:23" ht="13.5" customHeight="1" x14ac:dyDescent="0.25">
      <c r="B68" s="136"/>
      <c r="C68" s="133"/>
      <c r="T68" s="84">
        <f>SUM(T10:T67)</f>
        <v>0</v>
      </c>
      <c r="U68" s="84">
        <f>SUM(U10:U67)</f>
        <v>734.59564197530847</v>
      </c>
      <c r="V68" s="84"/>
      <c r="W68" s="148"/>
    </row>
    <row r="69" spans="2:23" x14ac:dyDescent="0.25">
      <c r="B69" s="136"/>
      <c r="C69" s="132" t="s">
        <v>542</v>
      </c>
      <c r="E69" s="387" t="s">
        <v>79</v>
      </c>
      <c r="F69" s="388"/>
      <c r="G69" s="388"/>
      <c r="H69" s="388"/>
      <c r="I69" s="389"/>
      <c r="J69" s="87"/>
      <c r="K69" s="176"/>
      <c r="L69" s="30">
        <f>IF(INDEX('EBM00239'!B:B,MATCH(E69,'EBM00239'!C:C,0))=0,"",INDEX('EBM00239'!B:B,MATCH(E69,'EBM00239'!C:C,0)))</f>
        <v>136</v>
      </c>
      <c r="M69" s="100"/>
      <c r="N69" s="30">
        <f>VLOOKUP(L69,'EBM00239'!B:F,3,FALSE)</f>
        <v>1</v>
      </c>
      <c r="R69" s="374"/>
      <c r="S69" s="85">
        <f>VLOOKUP(L69,'EBM00239'!B80:E88,4,FALSE)</f>
        <v>0</v>
      </c>
      <c r="T69" s="125"/>
      <c r="U69" s="35">
        <f>U68*S69</f>
        <v>0</v>
      </c>
      <c r="V69" s="125"/>
      <c r="W69" s="148"/>
    </row>
    <row r="70" spans="2:23" x14ac:dyDescent="0.25">
      <c r="C70" s="12"/>
    </row>
    <row r="71" spans="2:23" ht="18" x14ac:dyDescent="0.25">
      <c r="C71" s="12"/>
      <c r="O71" s="102"/>
      <c r="P71" s="375" t="s">
        <v>16</v>
      </c>
      <c r="Q71" s="419"/>
      <c r="R71" s="419"/>
      <c r="S71" s="419"/>
      <c r="T71" s="420"/>
      <c r="U71" s="122">
        <f t="shared" ref="U71" si="3">SUM(U68:U69)</f>
        <v>734.59564197530847</v>
      </c>
      <c r="V71" s="69"/>
    </row>
    <row r="72" spans="2:23" x14ac:dyDescent="0.25">
      <c r="B72" s="404" t="str">
        <f>IF(AND(E44&lt;&gt;"---",OR(L41='EBM00239'!B57,AN!L41='EBM00239'!B58)),"Nicht konfigurierbar! Kombination SATA DOM mit HDD/SSD unzulässig! / not possible! Combination of SATA DOM and HDD/SSD not foreseen!","")</f>
        <v/>
      </c>
      <c r="C72" s="404"/>
      <c r="D72" s="404"/>
      <c r="E72" s="404"/>
      <c r="F72" s="404"/>
      <c r="G72" s="404"/>
      <c r="H72" s="404"/>
      <c r="I72" s="404"/>
      <c r="J72" s="404"/>
      <c r="K72" s="404"/>
      <c r="L72" s="404"/>
      <c r="M72" s="404"/>
      <c r="N72" s="404"/>
      <c r="O72" s="404"/>
      <c r="P72" s="404"/>
      <c r="Q72" s="404"/>
      <c r="R72" s="404"/>
      <c r="S72" s="404"/>
      <c r="U72" s="152" t="s">
        <v>545</v>
      </c>
      <c r="V72" s="136"/>
    </row>
    <row r="73" spans="2:23" ht="39" customHeight="1" x14ac:dyDescent="0.25">
      <c r="B73" s="390" t="str">
        <f>IF(AND(L54='EBM00239'!B71,OR(AN!L41='EBM00239'!B52,AN!L41='EBM00239'!B58)),"Nicht konfigurierbar! Auswahl HDD/SSD nur in Verbindung mit Windows Betriebs-System zulässig / not possible! Selection of HDD/SSD is only allowed in combination with Windows OS","")</f>
        <v/>
      </c>
      <c r="C73" s="390"/>
      <c r="D73" s="390"/>
      <c r="E73" s="390"/>
      <c r="F73" s="390"/>
      <c r="G73" s="390"/>
      <c r="H73" s="390"/>
      <c r="I73" s="390"/>
      <c r="J73" s="390"/>
      <c r="K73" s="390"/>
      <c r="L73" s="390"/>
      <c r="M73" s="390"/>
      <c r="N73" s="390"/>
      <c r="O73" s="390"/>
      <c r="P73" s="390"/>
      <c r="Q73" s="390"/>
      <c r="R73" s="390"/>
      <c r="S73" s="390"/>
    </row>
    <row r="74" spans="2:23" ht="15" customHeight="1" x14ac:dyDescent="0.25">
      <c r="B74" s="390" t="str">
        <f>IF(AND(OR(L41='EBM00239'!B57,L41='EBM00239'!B58),OR(L54='EBM00239'!B70)),"Konfiguration nicht möglich! Kombination aus Datenträger und OS ändern! / Not possible! Change combination of data storage and OS!","")</f>
        <v/>
      </c>
      <c r="C74" s="390"/>
      <c r="D74" s="390"/>
      <c r="E74" s="390"/>
      <c r="F74" s="390"/>
      <c r="G74" s="390"/>
      <c r="H74" s="390"/>
      <c r="I74" s="390"/>
      <c r="J74" s="390"/>
      <c r="K74" s="390"/>
      <c r="L74" s="390"/>
      <c r="M74" s="390"/>
      <c r="N74" s="390"/>
      <c r="O74" s="390"/>
      <c r="P74" s="390"/>
      <c r="Q74" s="390"/>
      <c r="R74" s="390"/>
      <c r="S74" s="390"/>
    </row>
    <row r="75" spans="2:23" s="136" customFormat="1" ht="15" customHeight="1" x14ac:dyDescent="0.25">
      <c r="B75" s="390" t="str">
        <f>IF(SUM(N40,N43)&gt;1,"Betriebssystem nur für 1 Datenträger auswählen / Choose just one drive for operating system","")</f>
        <v/>
      </c>
      <c r="C75" s="390"/>
      <c r="D75" s="390"/>
      <c r="E75" s="390"/>
      <c r="F75" s="390"/>
      <c r="G75" s="390"/>
      <c r="H75" s="390"/>
      <c r="I75" s="390"/>
      <c r="J75" s="390"/>
      <c r="K75" s="390"/>
      <c r="L75" s="390"/>
      <c r="M75" s="390"/>
      <c r="N75" s="390"/>
      <c r="O75" s="390"/>
      <c r="P75" s="390"/>
      <c r="Q75" s="390"/>
      <c r="R75" s="390"/>
      <c r="S75" s="390"/>
      <c r="T75" s="148"/>
      <c r="W75" s="81"/>
    </row>
    <row r="76" spans="2:23" s="136" customFormat="1" ht="15" customHeight="1" x14ac:dyDescent="0.25">
      <c r="B76" s="390" t="str">
        <f>IF(AND(OR(L54=9990415,L54=9990544,L54="4100016M"),J41="0",J44="0"),"Datenträger für Betriebssstem-Installation auswählen / Choose drive for OS installation !","")</f>
        <v/>
      </c>
      <c r="C76" s="390"/>
      <c r="D76" s="390"/>
      <c r="E76" s="390"/>
      <c r="F76" s="390"/>
      <c r="G76" s="390"/>
      <c r="H76" s="390"/>
      <c r="I76" s="390"/>
      <c r="J76" s="390"/>
      <c r="K76" s="390"/>
      <c r="L76" s="390"/>
      <c r="M76" s="390"/>
      <c r="N76" s="390"/>
      <c r="O76" s="390"/>
      <c r="P76" s="390"/>
      <c r="Q76" s="390"/>
      <c r="R76" s="390"/>
      <c r="S76" s="390"/>
      <c r="T76" s="148"/>
      <c r="W76" s="81"/>
    </row>
    <row r="77" spans="2:23" s="136" customFormat="1" ht="15" customHeight="1" x14ac:dyDescent="0.25">
      <c r="B77" s="386" t="str">
        <f>IF(MAX(Sonstiges!B8:B23)&gt;0,"Achtung! Freie Kalkulation erstellt","")</f>
        <v/>
      </c>
      <c r="C77" s="386"/>
      <c r="D77" s="386"/>
      <c r="E77" s="386"/>
      <c r="F77" s="386"/>
      <c r="G77" s="386"/>
      <c r="H77" s="386"/>
      <c r="I77" s="386"/>
      <c r="J77" s="386"/>
      <c r="K77" s="386"/>
      <c r="L77" s="386"/>
      <c r="M77" s="386"/>
      <c r="N77" s="386"/>
      <c r="O77" s="386"/>
      <c r="P77" s="386"/>
      <c r="Q77" s="386"/>
      <c r="R77" s="386"/>
      <c r="S77" s="386"/>
      <c r="T77" s="148"/>
      <c r="W77" s="81"/>
    </row>
    <row r="78" spans="2:23" ht="35.1" customHeight="1" x14ac:dyDescent="0.25">
      <c r="B78" s="382" t="s">
        <v>19</v>
      </c>
      <c r="C78" s="382"/>
      <c r="D78" s="383" t="s">
        <v>21</v>
      </c>
      <c r="E78" s="383"/>
      <c r="F78" s="383"/>
      <c r="G78" s="383"/>
      <c r="H78" s="384" t="s">
        <v>22</v>
      </c>
      <c r="I78" s="384"/>
      <c r="J78" s="384"/>
      <c r="K78" s="384"/>
      <c r="L78" s="384"/>
      <c r="M78" s="384"/>
      <c r="N78" s="384"/>
      <c r="O78" s="384"/>
      <c r="P78" s="421" t="s">
        <v>812</v>
      </c>
      <c r="Q78" s="422"/>
      <c r="R78" s="422"/>
      <c r="S78" s="422"/>
    </row>
    <row r="79" spans="2:23" ht="35.1" customHeight="1" x14ac:dyDescent="0.25">
      <c r="B79" s="378" t="s">
        <v>20</v>
      </c>
      <c r="C79" s="378"/>
      <c r="D79" s="385"/>
      <c r="E79" s="385"/>
      <c r="F79" s="385"/>
      <c r="G79" s="385"/>
      <c r="H79" s="380"/>
      <c r="I79" s="380"/>
      <c r="J79" s="380"/>
      <c r="K79" s="380"/>
      <c r="L79" s="380"/>
      <c r="M79" s="380"/>
      <c r="N79" s="380"/>
      <c r="O79" s="380"/>
      <c r="P79" s="423"/>
      <c r="Q79" s="424"/>
      <c r="R79" s="424"/>
      <c r="S79" s="424"/>
    </row>
    <row r="80" spans="2:23" ht="35.1" customHeight="1" x14ac:dyDescent="0.25">
      <c r="B80" s="378" t="s">
        <v>34</v>
      </c>
      <c r="C80" s="378"/>
      <c r="D80" s="379" t="str">
        <f>IF(OR(B72&lt;&gt;"",B73&lt;&gt;"",B74&lt;&gt;""),"nicht möglich","")</f>
        <v/>
      </c>
      <c r="E80" s="379"/>
      <c r="F80" s="379"/>
      <c r="G80" s="379"/>
      <c r="H80" s="380"/>
      <c r="I80" s="380"/>
      <c r="J80" s="380"/>
      <c r="K80" s="380"/>
      <c r="L80" s="380"/>
      <c r="M80" s="380"/>
      <c r="N80" s="380"/>
      <c r="O80" s="380"/>
      <c r="P80" s="423"/>
      <c r="Q80" s="424"/>
      <c r="R80" s="424"/>
      <c r="S80" s="424"/>
    </row>
    <row r="81" spans="1:20" x14ac:dyDescent="0.25">
      <c r="A81" s="148" t="s">
        <v>701</v>
      </c>
      <c r="B81" s="148" t="s">
        <v>689</v>
      </c>
    </row>
    <row r="82" spans="1:20" ht="55.5" customHeight="1" x14ac:dyDescent="0.25">
      <c r="B82" s="11" t="str">
        <f ca="1">MID(CELL("Dateiname",$A$1),FIND("]",CELL("Dateiname",$A$1))+1,31)</f>
        <v>AN</v>
      </c>
      <c r="D82" s="3"/>
      <c r="Q82" s="425"/>
      <c r="R82" s="426" t="s">
        <v>523</v>
      </c>
      <c r="S82" s="148"/>
      <c r="T82" s="427"/>
    </row>
    <row r="83" spans="1:20" ht="5.25" customHeight="1" x14ac:dyDescent="0.25"/>
  </sheetData>
  <sheetProtection algorithmName="SHA-512" hashValue="iHhOaruawdlN8W75zz1KmoMdi9P5zPfiqHmndOVK0ZEvWxstxTLmW/9I3qywSjuMsgrgnojomIOPDEsY9Vh8Nw==" saltValue="aFrGnhL9Go7jIywPHWIdwg==" spinCount="100000" sheet="1" objects="1" scenarios="1" selectLockedCells="1"/>
  <dataConsolidate/>
  <mergeCells count="30">
    <mergeCell ref="E55:I55"/>
    <mergeCell ref="B80:C80"/>
    <mergeCell ref="D80:G80"/>
    <mergeCell ref="B72:S72"/>
    <mergeCell ref="B73:S73"/>
    <mergeCell ref="B74:S74"/>
    <mergeCell ref="B78:C78"/>
    <mergeCell ref="D78:G78"/>
    <mergeCell ref="H78:O78"/>
    <mergeCell ref="G2:L2"/>
    <mergeCell ref="B5:S5"/>
    <mergeCell ref="E36:I36"/>
    <mergeCell ref="E38:I38"/>
    <mergeCell ref="E41:I41"/>
    <mergeCell ref="E43:I43"/>
    <mergeCell ref="E40:I40"/>
    <mergeCell ref="P80:S80"/>
    <mergeCell ref="P78:S78"/>
    <mergeCell ref="B75:S75"/>
    <mergeCell ref="E44:I44"/>
    <mergeCell ref="H80:O80"/>
    <mergeCell ref="E48:I48"/>
    <mergeCell ref="B77:S77"/>
    <mergeCell ref="B76:S76"/>
    <mergeCell ref="E54:I54"/>
    <mergeCell ref="B79:C79"/>
    <mergeCell ref="D79:G79"/>
    <mergeCell ref="H79:O79"/>
    <mergeCell ref="P79:S79"/>
    <mergeCell ref="E69:I69"/>
  </mergeCells>
  <conditionalFormatting sqref="A45:K45 W41:W45 Y41:XFD45 K42:K43 R6 O41:O45 Q41:S45 R36:R40 M41:M42 J46:K46 AA46:XFD46 T41:T46 A46:D46 A41:B44 R33 R46:R53 D41:D44 U28:V28 T68:V68 M44:M45 U33:V58">
    <cfRule type="expression" dxfId="144" priority="274">
      <formula>CELL("Schutz",A6)=0</formula>
    </cfRule>
  </conditionalFormatting>
  <conditionalFormatting sqref="N67:S68 O69 Q69:S69">
    <cfRule type="expression" dxfId="143" priority="273">
      <formula>CELL("Schutz",N67)=0</formula>
    </cfRule>
  </conditionalFormatting>
  <conditionalFormatting sqref="A33:K33 Q33 O33 M33 X54 M46 L33:L39 L41:L42 L44:L45 T60:XFD64 S8:T8 T69:V69">
    <cfRule type="expression" dxfId="142" priority="272">
      <formula>CELL("Schutz",A8)=0</formula>
    </cfRule>
  </conditionalFormatting>
  <conditionalFormatting sqref="Y15:XFD16 Y10:XFD11 W15:W16 W10:W11">
    <cfRule type="expression" dxfId="141" priority="271">
      <formula>CELL("Schutz",W10)=0</formula>
    </cfRule>
  </conditionalFormatting>
  <conditionalFormatting sqref="T7 A8:Q8 D7:K7 W7:XFD8">
    <cfRule type="expression" dxfId="140" priority="266">
      <formula>CELL("Schutz",A7)=0</formula>
    </cfRule>
  </conditionalFormatting>
  <conditionalFormatting sqref="R8">
    <cfRule type="expression" dxfId="139" priority="265">
      <formula>CELL("Schutz",R8)=0</formula>
    </cfRule>
  </conditionalFormatting>
  <conditionalFormatting sqref="R7">
    <cfRule type="expression" dxfId="138" priority="263">
      <formula>CELL("Schutz",R7)=0</formula>
    </cfRule>
  </conditionalFormatting>
  <conditionalFormatting sqref="S7 L7:M7 P7:Q7">
    <cfRule type="expression" dxfId="137" priority="264">
      <formula>CELL("Schutz",L7)=0</formula>
    </cfRule>
  </conditionalFormatting>
  <conditionalFormatting sqref="C38:C40">
    <cfRule type="expression" dxfId="136" priority="262">
      <formula>CELL("Schutz",C38)=0</formula>
    </cfRule>
  </conditionalFormatting>
  <conditionalFormatting sqref="W35 M34 AA34:XFD34 A34 J34:K34 Y35:XFD35 Q34 S34:T35 O34 C34:D34">
    <cfRule type="expression" dxfId="135" priority="258">
      <formula>CELL("Schutz",A34)=0</formula>
    </cfRule>
  </conditionalFormatting>
  <conditionalFormatting sqref="R34:R35">
    <cfRule type="expression" dxfId="134" priority="257">
      <formula>CELL("Schutz",R34)=0</formula>
    </cfRule>
  </conditionalFormatting>
  <conditionalFormatting sqref="A35:K35 Q35 O35 M35">
    <cfRule type="expression" dxfId="133" priority="256">
      <formula>CELL("Schutz",A35)=0</formula>
    </cfRule>
  </conditionalFormatting>
  <conditionalFormatting sqref="B5:S5">
    <cfRule type="expression" dxfId="132" priority="255">
      <formula>CELL("Schutz",B5)=0</formula>
    </cfRule>
  </conditionalFormatting>
  <conditionalFormatting sqref="A54:B54 J54:K54 Y54:XFD54 T54 D54 W54">
    <cfRule type="expression" dxfId="131" priority="250">
      <formula>CELL("Schutz",A54)=0</formula>
    </cfRule>
  </conditionalFormatting>
  <conditionalFormatting sqref="A63:D64 F63:K63">
    <cfRule type="expression" dxfId="130" priority="248">
      <formula>CELL("Schutz",A63)=0</formula>
    </cfRule>
  </conditionalFormatting>
  <conditionalFormatting sqref="A61:D62 F61:K62">
    <cfRule type="expression" dxfId="129" priority="247">
      <formula>CELL("Schutz",A61)=0</formula>
    </cfRule>
  </conditionalFormatting>
  <conditionalFormatting sqref="A60:K60 E61:E65">
    <cfRule type="expression" dxfId="128" priority="246">
      <formula>CELL("Schutz",A60)=0</formula>
    </cfRule>
  </conditionalFormatting>
  <conditionalFormatting sqref="Y12:XFD13 A13:D13 A12:B12 D12 W12:W13">
    <cfRule type="expression" dxfId="127" priority="252">
      <formula>CELL("Schutz",#REF!)=0</formula>
    </cfRule>
  </conditionalFormatting>
  <conditionalFormatting sqref="A14:D14 Y14:XFD14 W14">
    <cfRule type="expression" dxfId="126" priority="275">
      <formula>CELL("Schutz",#REF!)=0</formula>
    </cfRule>
  </conditionalFormatting>
  <conditionalFormatting sqref="N42">
    <cfRule type="cellIs" dxfId="125" priority="224" operator="equal">
      <formula>0</formula>
    </cfRule>
  </conditionalFormatting>
  <conditionalFormatting sqref="M54 O54 Q54:S54">
    <cfRule type="expression" dxfId="124" priority="182">
      <formula>$E$54="---"</formula>
    </cfRule>
  </conditionalFormatting>
  <conditionalFormatting sqref="E42:I42">
    <cfRule type="expression" dxfId="123" priority="168">
      <formula>CELL("Schutz",E42)=0</formula>
    </cfRule>
  </conditionalFormatting>
  <conditionalFormatting sqref="L44:S44">
    <cfRule type="expression" dxfId="122" priority="167">
      <formula>$E$44="---"</formula>
    </cfRule>
  </conditionalFormatting>
  <conditionalFormatting sqref="L46">
    <cfRule type="expression" dxfId="121" priority="166">
      <formula>CELL("Schutz",L46)=0</formula>
    </cfRule>
  </conditionalFormatting>
  <conditionalFormatting sqref="L49">
    <cfRule type="expression" dxfId="120" priority="163">
      <formula>CELL("Schutz",L49)=0</formula>
    </cfRule>
  </conditionalFormatting>
  <conditionalFormatting sqref="L50:L52">
    <cfRule type="expression" dxfId="119" priority="162">
      <formula>CELL("Schutz",L50)=0</formula>
    </cfRule>
  </conditionalFormatting>
  <conditionalFormatting sqref="E49:N52 P49:S52">
    <cfRule type="expression" dxfId="118" priority="161">
      <formula>$E$48="Nein"</formula>
    </cfRule>
  </conditionalFormatting>
  <conditionalFormatting sqref="L54">
    <cfRule type="expression" dxfId="117" priority="160">
      <formula>CELL("Schutz",L54)=0</formula>
    </cfRule>
  </conditionalFormatting>
  <conditionalFormatting sqref="L60:L65">
    <cfRule type="expression" dxfId="116" priority="153">
      <formula>CELL("Schutz",L60)=0</formula>
    </cfRule>
  </conditionalFormatting>
  <conditionalFormatting sqref="L69">
    <cfRule type="expression" dxfId="115" priority="152">
      <formula>CELL("Schutz",L69)=0</formula>
    </cfRule>
  </conditionalFormatting>
  <conditionalFormatting sqref="R28">
    <cfRule type="expression" dxfId="114" priority="150">
      <formula>CELL("Schutz",R28)=0</formula>
    </cfRule>
  </conditionalFormatting>
  <conditionalFormatting sqref="L28">
    <cfRule type="expression" dxfId="113" priority="149">
      <formula>CELL("Schutz",L28)=0</formula>
    </cfRule>
  </conditionalFormatting>
  <conditionalFormatting sqref="F28:I28">
    <cfRule type="expression" dxfId="112" priority="148">
      <formula>CELL("Schutz",F28)=0</formula>
    </cfRule>
  </conditionalFormatting>
  <conditionalFormatting sqref="X55:X56">
    <cfRule type="expression" dxfId="111" priority="146">
      <formula>CELL("Schutz",X55)=0</formula>
    </cfRule>
  </conditionalFormatting>
  <conditionalFormatting sqref="R55:R56">
    <cfRule type="expression" dxfId="110" priority="141">
      <formula>CELL("Schutz",R55)=0</formula>
    </cfRule>
  </conditionalFormatting>
  <conditionalFormatting sqref="L56">
    <cfRule type="expression" dxfId="109" priority="140">
      <formula>CELL("Schutz",L56)=0</formula>
    </cfRule>
  </conditionalFormatting>
  <conditionalFormatting sqref="N55">
    <cfRule type="cellIs" dxfId="108" priority="135" operator="equal">
      <formula>0</formula>
    </cfRule>
    <cfRule type="expression" dxfId="107" priority="139">
      <formula>CELL("Schutz",N55)=0</formula>
    </cfRule>
  </conditionalFormatting>
  <conditionalFormatting sqref="L55">
    <cfRule type="expression" dxfId="106" priority="138">
      <formula>CELL("Schutz",L55)=0</formula>
    </cfRule>
  </conditionalFormatting>
  <conditionalFormatting sqref="P55:S55 Q56:S56">
    <cfRule type="cellIs" dxfId="105" priority="137" operator="equal">
      <formula>0</formula>
    </cfRule>
  </conditionalFormatting>
  <conditionalFormatting sqref="E56">
    <cfRule type="cellIs" dxfId="104" priority="136" operator="equal">
      <formula>"#NV"</formula>
    </cfRule>
  </conditionalFormatting>
  <conditionalFormatting sqref="P55">
    <cfRule type="expression" dxfId="103" priority="134">
      <formula>$N$98=0</formula>
    </cfRule>
  </conditionalFormatting>
  <conditionalFormatting sqref="S55 Q55">
    <cfRule type="expression" dxfId="102" priority="133">
      <formula>CELL("Schutz",Q55)=0</formula>
    </cfRule>
  </conditionalFormatting>
  <conditionalFormatting sqref="R55">
    <cfRule type="expression" dxfId="101" priority="132">
      <formula>CELL("Schutz",R55)=0</formula>
    </cfRule>
  </conditionalFormatting>
  <conditionalFormatting sqref="S56 Q56">
    <cfRule type="expression" dxfId="100" priority="131">
      <formula>CELL("Schutz",Q56)=0</formula>
    </cfRule>
  </conditionalFormatting>
  <conditionalFormatting sqref="R56">
    <cfRule type="expression" dxfId="99" priority="130">
      <formula>CELL("Schutz",R56)=0</formula>
    </cfRule>
  </conditionalFormatting>
  <conditionalFormatting sqref="N7">
    <cfRule type="expression" dxfId="98" priority="121">
      <formula>CELL("Schutz",N7)=0</formula>
    </cfRule>
  </conditionalFormatting>
  <conditionalFormatting sqref="U7:V8">
    <cfRule type="expression" dxfId="97" priority="120">
      <formula>CELL("Schutz",U7)=0</formula>
    </cfRule>
  </conditionalFormatting>
  <conditionalFormatting sqref="C11:C12">
    <cfRule type="expression" dxfId="96" priority="118">
      <formula>CELL("Schutz",#REF!)=0</formula>
    </cfRule>
  </conditionalFormatting>
  <conditionalFormatting sqref="B34">
    <cfRule type="expression" dxfId="95" priority="117">
      <formula>CELL("Schutz",B34)=0</formula>
    </cfRule>
  </conditionalFormatting>
  <conditionalFormatting sqref="C41:C44">
    <cfRule type="expression" dxfId="94" priority="116">
      <formula>CELL("Schutz",C41)=0</formula>
    </cfRule>
  </conditionalFormatting>
  <conditionalFormatting sqref="C54">
    <cfRule type="expression" dxfId="93" priority="115">
      <formula>CELL("Schutz",C54)=0</formula>
    </cfRule>
  </conditionalFormatting>
  <conditionalFormatting sqref="R82">
    <cfRule type="expression" dxfId="92" priority="114">
      <formula>CELL("Schutz",R82)=0</formula>
    </cfRule>
  </conditionalFormatting>
  <conditionalFormatting sqref="J41:J42 J44">
    <cfRule type="expression" dxfId="91" priority="111">
      <formula>CELL("Schutz",J41)=0</formula>
    </cfRule>
  </conditionalFormatting>
  <conditionalFormatting sqref="O7">
    <cfRule type="expression" dxfId="90" priority="110">
      <formula>CELL("Schutz",O7)=0</formula>
    </cfRule>
  </conditionalFormatting>
  <conditionalFormatting sqref="U13:V13">
    <cfRule type="expression" dxfId="89" priority="85">
      <formula>CELL("Schutz",U13)=0</formula>
    </cfRule>
  </conditionalFormatting>
  <conditionalFormatting sqref="L13">
    <cfRule type="expression" dxfId="88" priority="83">
      <formula>CELL("Schutz",L13)=0</formula>
    </cfRule>
  </conditionalFormatting>
  <conditionalFormatting sqref="U10:V10">
    <cfRule type="expression" dxfId="87" priority="97">
      <formula>CELL("Schutz",U10)=0</formula>
    </cfRule>
  </conditionalFormatting>
  <conditionalFormatting sqref="R10">
    <cfRule type="expression" dxfId="86" priority="96">
      <formula>CELL("Schutz",R10)=0</formula>
    </cfRule>
  </conditionalFormatting>
  <conditionalFormatting sqref="L10">
    <cfRule type="expression" dxfId="85" priority="95">
      <formula>CELL("Schutz",L10)=0</formula>
    </cfRule>
  </conditionalFormatting>
  <conditionalFormatting sqref="F10:I10">
    <cfRule type="expression" dxfId="84" priority="94">
      <formula>CELL("Schutz",F10)=0</formula>
    </cfRule>
  </conditionalFormatting>
  <conditionalFormatting sqref="U11:V11">
    <cfRule type="expression" dxfId="83" priority="93">
      <formula>CELL("Schutz",U11)=0</formula>
    </cfRule>
  </conditionalFormatting>
  <conditionalFormatting sqref="R11">
    <cfRule type="expression" dxfId="82" priority="92">
      <formula>CELL("Schutz",R11)=0</formula>
    </cfRule>
  </conditionalFormatting>
  <conditionalFormatting sqref="L11">
    <cfRule type="expression" dxfId="81" priority="91">
      <formula>CELL("Schutz",L11)=0</formula>
    </cfRule>
  </conditionalFormatting>
  <conditionalFormatting sqref="F11:I11">
    <cfRule type="expression" dxfId="80" priority="90">
      <formula>CELL("Schutz",F11)=0</formula>
    </cfRule>
  </conditionalFormatting>
  <conditionalFormatting sqref="U12:V12">
    <cfRule type="expression" dxfId="79" priority="89">
      <formula>CELL("Schutz",U12)=0</formula>
    </cfRule>
  </conditionalFormatting>
  <conditionalFormatting sqref="R12">
    <cfRule type="expression" dxfId="78" priority="88">
      <formula>CELL("Schutz",R12)=0</formula>
    </cfRule>
  </conditionalFormatting>
  <conditionalFormatting sqref="L12">
    <cfRule type="expression" dxfId="77" priority="87">
      <formula>CELL("Schutz",L12)=0</formula>
    </cfRule>
  </conditionalFormatting>
  <conditionalFormatting sqref="F12:I12">
    <cfRule type="expression" dxfId="76" priority="86">
      <formula>CELL("Schutz",F12)=0</formula>
    </cfRule>
  </conditionalFormatting>
  <conditionalFormatting sqref="R13">
    <cfRule type="expression" dxfId="75" priority="84">
      <formula>CELL("Schutz",R13)=0</formula>
    </cfRule>
  </conditionalFormatting>
  <conditionalFormatting sqref="F13:I13">
    <cfRule type="expression" dxfId="74" priority="82">
      <formula>CELL("Schutz",F13)=0</formula>
    </cfRule>
  </conditionalFormatting>
  <conditionalFormatting sqref="U14:V14">
    <cfRule type="expression" dxfId="73" priority="81">
      <formula>CELL("Schutz",U14)=0</formula>
    </cfRule>
  </conditionalFormatting>
  <conditionalFormatting sqref="R14">
    <cfRule type="expression" dxfId="72" priority="80">
      <formula>CELL("Schutz",R14)=0</formula>
    </cfRule>
  </conditionalFormatting>
  <conditionalFormatting sqref="L14">
    <cfRule type="expression" dxfId="71" priority="79">
      <formula>CELL("Schutz",L14)=0</formula>
    </cfRule>
  </conditionalFormatting>
  <conditionalFormatting sqref="F14:I14">
    <cfRule type="expression" dxfId="70" priority="78">
      <formula>CELL("Schutz",F14)=0</formula>
    </cfRule>
  </conditionalFormatting>
  <conditionalFormatting sqref="U15:V15">
    <cfRule type="expression" dxfId="69" priority="77">
      <formula>CELL("Schutz",U15)=0</formula>
    </cfRule>
  </conditionalFormatting>
  <conditionalFormatting sqref="R15">
    <cfRule type="expression" dxfId="68" priority="76">
      <formula>CELL("Schutz",R15)=0</formula>
    </cfRule>
  </conditionalFormatting>
  <conditionalFormatting sqref="L15">
    <cfRule type="expression" dxfId="67" priority="75">
      <formula>CELL("Schutz",L15)=0</formula>
    </cfRule>
  </conditionalFormatting>
  <conditionalFormatting sqref="F15:I15">
    <cfRule type="expression" dxfId="66" priority="74">
      <formula>CELL("Schutz",F15)=0</formula>
    </cfRule>
  </conditionalFormatting>
  <conditionalFormatting sqref="U16:V16">
    <cfRule type="expression" dxfId="65" priority="73">
      <formula>CELL("Schutz",U16)=0</formula>
    </cfRule>
  </conditionalFormatting>
  <conditionalFormatting sqref="R16">
    <cfRule type="expression" dxfId="64" priority="72">
      <formula>CELL("Schutz",R16)=0</formula>
    </cfRule>
  </conditionalFormatting>
  <conditionalFormatting sqref="L16">
    <cfRule type="expression" dxfId="63" priority="71">
      <formula>CELL("Schutz",L16)=0</formula>
    </cfRule>
  </conditionalFormatting>
  <conditionalFormatting sqref="F16:I16">
    <cfRule type="expression" dxfId="62" priority="70">
      <formula>CELL("Schutz",F16)=0</formula>
    </cfRule>
  </conditionalFormatting>
  <conditionalFormatting sqref="U17:V17">
    <cfRule type="expression" dxfId="61" priority="69">
      <formula>CELL("Schutz",U17)=0</formula>
    </cfRule>
  </conditionalFormatting>
  <conditionalFormatting sqref="R17">
    <cfRule type="expression" dxfId="60" priority="68">
      <formula>CELL("Schutz",R17)=0</formula>
    </cfRule>
  </conditionalFormatting>
  <conditionalFormatting sqref="L17">
    <cfRule type="expression" dxfId="59" priority="67">
      <formula>CELL("Schutz",L17)=0</formula>
    </cfRule>
  </conditionalFormatting>
  <conditionalFormatting sqref="F17:I17">
    <cfRule type="expression" dxfId="58" priority="66">
      <formula>CELL("Schutz",F17)=0</formula>
    </cfRule>
  </conditionalFormatting>
  <conditionalFormatting sqref="U18:V18">
    <cfRule type="expression" dxfId="57" priority="65">
      <formula>CELL("Schutz",U18)=0</formula>
    </cfRule>
  </conditionalFormatting>
  <conditionalFormatting sqref="R18">
    <cfRule type="expression" dxfId="56" priority="64">
      <formula>CELL("Schutz",R18)=0</formula>
    </cfRule>
  </conditionalFormatting>
  <conditionalFormatting sqref="L18">
    <cfRule type="expression" dxfId="55" priority="63">
      <formula>CELL("Schutz",L18)=0</formula>
    </cfRule>
  </conditionalFormatting>
  <conditionalFormatting sqref="F18:I18">
    <cfRule type="expression" dxfId="54" priority="62">
      <formula>CELL("Schutz",F18)=0</formula>
    </cfRule>
  </conditionalFormatting>
  <conditionalFormatting sqref="U19:V19">
    <cfRule type="expression" dxfId="53" priority="61">
      <formula>CELL("Schutz",U19)=0</formula>
    </cfRule>
  </conditionalFormatting>
  <conditionalFormatting sqref="R19">
    <cfRule type="expression" dxfId="52" priority="60">
      <formula>CELL("Schutz",R19)=0</formula>
    </cfRule>
  </conditionalFormatting>
  <conditionalFormatting sqref="L19">
    <cfRule type="expression" dxfId="51" priority="59">
      <formula>CELL("Schutz",L19)=0</formula>
    </cfRule>
  </conditionalFormatting>
  <conditionalFormatting sqref="F19:I19">
    <cfRule type="expression" dxfId="50" priority="58">
      <formula>CELL("Schutz",F19)=0</formula>
    </cfRule>
  </conditionalFormatting>
  <conditionalFormatting sqref="U20:V20">
    <cfRule type="expression" dxfId="49" priority="57">
      <formula>CELL("Schutz",U20)=0</formula>
    </cfRule>
  </conditionalFormatting>
  <conditionalFormatting sqref="R20">
    <cfRule type="expression" dxfId="48" priority="56">
      <formula>CELL("Schutz",R20)=0</formula>
    </cfRule>
  </conditionalFormatting>
  <conditionalFormatting sqref="L20">
    <cfRule type="expression" dxfId="47" priority="55">
      <formula>CELL("Schutz",L20)=0</formula>
    </cfRule>
  </conditionalFormatting>
  <conditionalFormatting sqref="F20:I20">
    <cfRule type="expression" dxfId="46" priority="54">
      <formula>CELL("Schutz",F20)=0</formula>
    </cfRule>
  </conditionalFormatting>
  <conditionalFormatting sqref="U21:V21">
    <cfRule type="expression" dxfId="45" priority="53">
      <formula>CELL("Schutz",U21)=0</formula>
    </cfRule>
  </conditionalFormatting>
  <conditionalFormatting sqref="R21">
    <cfRule type="expression" dxfId="44" priority="52">
      <formula>CELL("Schutz",R21)=0</formula>
    </cfRule>
  </conditionalFormatting>
  <conditionalFormatting sqref="L21">
    <cfRule type="expression" dxfId="43" priority="51">
      <formula>CELL("Schutz",L21)=0</formula>
    </cfRule>
  </conditionalFormatting>
  <conditionalFormatting sqref="F21:I21">
    <cfRule type="expression" dxfId="42" priority="50">
      <formula>CELL("Schutz",F21)=0</formula>
    </cfRule>
  </conditionalFormatting>
  <conditionalFormatting sqref="U22:V22">
    <cfRule type="expression" dxfId="41" priority="49">
      <formula>CELL("Schutz",U22)=0</formula>
    </cfRule>
  </conditionalFormatting>
  <conditionalFormatting sqref="R22">
    <cfRule type="expression" dxfId="40" priority="48">
      <formula>CELL("Schutz",R22)=0</formula>
    </cfRule>
  </conditionalFormatting>
  <conditionalFormatting sqref="L22">
    <cfRule type="expression" dxfId="39" priority="47">
      <formula>CELL("Schutz",L22)=0</formula>
    </cfRule>
  </conditionalFormatting>
  <conditionalFormatting sqref="F22:I22">
    <cfRule type="expression" dxfId="38" priority="46">
      <formula>CELL("Schutz",F22)=0</formula>
    </cfRule>
  </conditionalFormatting>
  <conditionalFormatting sqref="U23:V23">
    <cfRule type="expression" dxfId="37" priority="45">
      <formula>CELL("Schutz",U23)=0</formula>
    </cfRule>
  </conditionalFormatting>
  <conditionalFormatting sqref="R23">
    <cfRule type="expression" dxfId="36" priority="44">
      <formula>CELL("Schutz",R23)=0</formula>
    </cfRule>
  </conditionalFormatting>
  <conditionalFormatting sqref="L23">
    <cfRule type="expression" dxfId="35" priority="43">
      <formula>CELL("Schutz",L23)=0</formula>
    </cfRule>
  </conditionalFormatting>
  <conditionalFormatting sqref="F23:I23">
    <cfRule type="expression" dxfId="34" priority="42">
      <formula>CELL("Schutz",F23)=0</formula>
    </cfRule>
  </conditionalFormatting>
  <conditionalFormatting sqref="U24:V24">
    <cfRule type="expression" dxfId="33" priority="41">
      <formula>CELL("Schutz",U24)=0</formula>
    </cfRule>
  </conditionalFormatting>
  <conditionalFormatting sqref="R24">
    <cfRule type="expression" dxfId="32" priority="40">
      <formula>CELL("Schutz",R24)=0</formula>
    </cfRule>
  </conditionalFormatting>
  <conditionalFormatting sqref="L24">
    <cfRule type="expression" dxfId="31" priority="39">
      <formula>CELL("Schutz",L24)=0</formula>
    </cfRule>
  </conditionalFormatting>
  <conditionalFormatting sqref="F24:I24">
    <cfRule type="expression" dxfId="30" priority="38">
      <formula>CELL("Schutz",F24)=0</formula>
    </cfRule>
  </conditionalFormatting>
  <conditionalFormatting sqref="U25:V25">
    <cfRule type="expression" dxfId="29" priority="37">
      <formula>CELL("Schutz",U25)=0</formula>
    </cfRule>
  </conditionalFormatting>
  <conditionalFormatting sqref="R25">
    <cfRule type="expression" dxfId="28" priority="36">
      <formula>CELL("Schutz",R25)=0</formula>
    </cfRule>
  </conditionalFormatting>
  <conditionalFormatting sqref="L25">
    <cfRule type="expression" dxfId="27" priority="35">
      <formula>CELL("Schutz",L25)=0</formula>
    </cfRule>
  </conditionalFormatting>
  <conditionalFormatting sqref="F25:I25">
    <cfRule type="expression" dxfId="26" priority="34">
      <formula>CELL("Schutz",F25)=0</formula>
    </cfRule>
  </conditionalFormatting>
  <conditionalFormatting sqref="U26:V26">
    <cfRule type="expression" dxfId="25" priority="33">
      <formula>CELL("Schutz",U26)=0</formula>
    </cfRule>
  </conditionalFormatting>
  <conditionalFormatting sqref="R26">
    <cfRule type="expression" dxfId="24" priority="32">
      <formula>CELL("Schutz",R26)=0</formula>
    </cfRule>
  </conditionalFormatting>
  <conditionalFormatting sqref="L26">
    <cfRule type="expression" dxfId="23" priority="31">
      <formula>CELL("Schutz",L26)=0</formula>
    </cfRule>
  </conditionalFormatting>
  <conditionalFormatting sqref="F26:I26">
    <cfRule type="expression" dxfId="22" priority="30">
      <formula>CELL("Schutz",F26)=0</formula>
    </cfRule>
  </conditionalFormatting>
  <conditionalFormatting sqref="U27:V27">
    <cfRule type="expression" dxfId="21" priority="29">
      <formula>CELL("Schutz",U27)=0</formula>
    </cfRule>
  </conditionalFormatting>
  <conditionalFormatting sqref="R27">
    <cfRule type="expression" dxfId="20" priority="28">
      <formula>CELL("Schutz",R27)=0</formula>
    </cfRule>
  </conditionalFormatting>
  <conditionalFormatting sqref="L27">
    <cfRule type="expression" dxfId="19" priority="27">
      <formula>CELL("Schutz",L27)=0</formula>
    </cfRule>
  </conditionalFormatting>
  <conditionalFormatting sqref="F27:I27">
    <cfRule type="expression" dxfId="18" priority="26">
      <formula>CELL("Schutz",F27)=0</formula>
    </cfRule>
  </conditionalFormatting>
  <conditionalFormatting sqref="U29:V29">
    <cfRule type="expression" dxfId="17" priority="25">
      <formula>CELL("Schutz",U29)=0</formula>
    </cfRule>
  </conditionalFormatting>
  <conditionalFormatting sqref="R29">
    <cfRule type="expression" dxfId="16" priority="24">
      <formula>CELL("Schutz",R29)=0</formula>
    </cfRule>
  </conditionalFormatting>
  <conditionalFormatting sqref="L29">
    <cfRule type="expression" dxfId="15" priority="23">
      <formula>CELL("Schutz",L29)=0</formula>
    </cfRule>
  </conditionalFormatting>
  <conditionalFormatting sqref="F29:I29">
    <cfRule type="expression" dxfId="14" priority="22">
      <formula>CELL("Schutz",F29)=0</formula>
    </cfRule>
  </conditionalFormatting>
  <conditionalFormatting sqref="U30:V30">
    <cfRule type="expression" dxfId="13" priority="21">
      <formula>CELL("Schutz",U30)=0</formula>
    </cfRule>
  </conditionalFormatting>
  <conditionalFormatting sqref="R30">
    <cfRule type="expression" dxfId="12" priority="20">
      <formula>CELL("Schutz",R30)=0</formula>
    </cfRule>
  </conditionalFormatting>
  <conditionalFormatting sqref="F30:I30">
    <cfRule type="expression" dxfId="11" priority="18">
      <formula>CELL("Schutz",F30)=0</formula>
    </cfRule>
  </conditionalFormatting>
  <conditionalFormatting sqref="U31:V31">
    <cfRule type="expression" dxfId="10" priority="17">
      <formula>CELL("Schutz",U31)=0</formula>
    </cfRule>
  </conditionalFormatting>
  <conditionalFormatting sqref="R31">
    <cfRule type="expression" dxfId="9" priority="16">
      <formula>CELL("Schutz",R31)=0</formula>
    </cfRule>
  </conditionalFormatting>
  <conditionalFormatting sqref="F31:I31">
    <cfRule type="expression" dxfId="8" priority="14">
      <formula>CELL("Schutz",F31)=0</formula>
    </cfRule>
  </conditionalFormatting>
  <conditionalFormatting sqref="U32:V32">
    <cfRule type="expression" dxfId="7" priority="13">
      <formula>CELL("Schutz",U32)=0</formula>
    </cfRule>
  </conditionalFormatting>
  <conditionalFormatting sqref="R32">
    <cfRule type="expression" dxfId="6" priority="12">
      <formula>CELL("Schutz",R32)=0</formula>
    </cfRule>
  </conditionalFormatting>
  <conditionalFormatting sqref="F32:I32">
    <cfRule type="expression" dxfId="5" priority="10">
      <formula>CELL("Schutz",F32)=0</formula>
    </cfRule>
  </conditionalFormatting>
  <conditionalFormatting sqref="L30:L32">
    <cfRule type="expression" dxfId="1" priority="2">
      <formula>CELL("Schutz",L30)=0</formula>
    </cfRule>
  </conditionalFormatting>
  <conditionalFormatting sqref="N32">
    <cfRule type="cellIs" dxfId="0" priority="1" operator="greaterThan">
      <formula>1</formula>
    </cfRule>
  </conditionalFormatting>
  <dataValidations count="4">
    <dataValidation type="list" allowBlank="1" showInputMessage="1" showErrorMessage="1" sqref="F46:I46">
      <formula1>#REF!</formula1>
    </dataValidation>
    <dataValidation allowBlank="1" showInputMessage="1" showErrorMessage="1" sqref="N53 N47:N48 N8:N9"/>
    <dataValidation type="list" allowBlank="1" showInputMessage="1" showErrorMessage="1" sqref="K44">
      <formula1>$A$62:$A$63</formula1>
    </dataValidation>
    <dataValidation type="list" allowBlank="1" showInputMessage="1" showErrorMessage="1" sqref="K41">
      <formula1>$A$59:$A$60</formula1>
    </dataValidation>
  </dataValidations>
  <hyperlinks>
    <hyperlink ref="B2" location="Übersicht!A1" display="Home"/>
  </hyperlinks>
  <pageMargins left="0.11811023622047244" right="0.11811023622047244" top="0.74803149606299213" bottom="0.19685039370078741" header="0.31496062992125984" footer="0.31496062992125984"/>
  <pageSetup paperSize="9" scale="44" fitToHeight="0" orientation="portrait" horizontalDpi="4294967294" r:id="rId1"/>
  <headerFooter>
    <oddHeader>&amp;C&amp;14&amp;F</oddHeader>
  </headerFooter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13" id="{26EE3355-55F8-4ED7-852A-D220D6B4146F}">
            <xm:f>CELL("Schutz",TL³!R9)=0</xm:f>
            <x14:dxf>
              <font>
                <color auto="1"/>
              </font>
              <fill>
                <patternFill>
                  <bgColor theme="0" tint="-4.9989318521683403E-2"/>
                </patternFill>
              </fill>
            </x14:dxf>
          </x14:cfRule>
          <xm:sqref>R9</xm:sqref>
        </x14:conditionalFormatting>
        <x14:conditionalFormatting xmlns:xm="http://schemas.microsoft.com/office/excel/2006/main">
          <x14:cfRule type="expression" priority="112" id="{8EE585F0-B1DC-4718-8B5E-82E2463F2AE9}">
            <xm:f>CELL("Schutz",TL³!A9)=0</xm:f>
            <x14:dxf>
              <fill>
                <patternFill>
                  <bgColor theme="0" tint="-4.9989318521683403E-2"/>
                </patternFill>
              </fill>
            </x14:dxf>
          </x14:cfRule>
          <xm:sqref>A9:O9 S9:V9 Q9</xm:sqref>
        </x14:conditionalFormatting>
        <x14:conditionalFormatting xmlns:xm="http://schemas.microsoft.com/office/excel/2006/main">
          <x14:cfRule type="expression" priority="1002" id="{8EE585F0-B1DC-4718-8B5E-82E2463F2AE9}">
            <xm:f>CELL("Schutz",TL³!U9)=0</xm:f>
            <x14:dxf>
              <fill>
                <patternFill>
                  <bgColor theme="0" tint="-4.9989318521683403E-2"/>
                </patternFill>
              </fill>
            </x14:dxf>
          </x14:cfRule>
          <xm:sqref>W9:XFD9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'EBM00239'!$C$80:$C$88</xm:f>
          </x14:formula1>
          <xm:sqref>E69:I69</xm:sqref>
        </x14:dataValidation>
        <x14:dataValidation type="list" allowBlank="1" showInputMessage="1" showErrorMessage="1">
          <x14:formula1>
            <xm:f>'EBM00239'!$C$51:$C$58</xm:f>
          </x14:formula1>
          <xm:sqref>E44:I44</xm:sqref>
        </x14:dataValidation>
        <x14:dataValidation type="list" allowBlank="1" showInputMessage="1" showErrorMessage="1">
          <x14:formula1>
            <xm:f>'EBM00239'!$C$38:$C$44</xm:f>
          </x14:formula1>
          <xm:sqref>E36:I36</xm:sqref>
        </x14:dataValidation>
        <x14:dataValidation type="list" allowBlank="1" showInputMessage="1" showErrorMessage="1">
          <x14:formula1>
            <xm:f>'EBM00239'!$A$46:$A$47</xm:f>
          </x14:formula1>
          <xm:sqref>N38</xm:sqref>
        </x14:dataValidation>
        <x14:dataValidation type="list" allowBlank="1" showInputMessage="1" showErrorMessage="1">
          <x14:formula1>
            <xm:f>'EBM00239'!$A$63:$A$64</xm:f>
          </x14:formula1>
          <xm:sqref>E48:I48</xm:sqref>
        </x14:dataValidation>
        <x14:dataValidation type="list" allowBlank="1" showInputMessage="1" showErrorMessage="1">
          <x14:formula1>
            <xm:f>'EBM00239'!$C$47:$C$48</xm:f>
          </x14:formula1>
          <xm:sqref>E38:I38</xm:sqref>
        </x14:dataValidation>
        <x14:dataValidation type="list" allowBlank="1" showInputMessage="1" showErrorMessage="1">
          <x14:formula1>
            <xm:f>'EBM00239'!$C$52:$C$58</xm:f>
          </x14:formula1>
          <xm:sqref>E41:I41</xm:sqref>
        </x14:dataValidation>
        <x14:dataValidation type="list" allowBlank="1" showInputMessage="1" showErrorMessage="1">
          <x14:formula1>
            <xm:f>'EBM00239'!$C$69:$C$71</xm:f>
          </x14:formula1>
          <xm:sqref>E54:I54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X56"/>
  <sheetViews>
    <sheetView view="pageBreakPreview" zoomScale="85" zoomScaleNormal="100" zoomScaleSheetLayoutView="85" workbookViewId="0">
      <pane xSplit="1" ySplit="5" topLeftCell="B6" activePane="bottomRight" state="frozen"/>
      <selection activeCell="L15" sqref="L15"/>
      <selection pane="topRight" activeCell="L15" sqref="L15"/>
      <selection pane="bottomLeft" activeCell="L15" sqref="L15"/>
      <selection pane="bottomRight" activeCell="G2" sqref="G2:L2"/>
    </sheetView>
  </sheetViews>
  <sheetFormatPr baseColWidth="10" defaultColWidth="11.42578125" defaultRowHeight="15" x14ac:dyDescent="0.25"/>
  <cols>
    <col min="1" max="1" width="10.7109375" style="19" customWidth="1"/>
    <col min="2" max="2" width="25.140625" style="19" customWidth="1"/>
    <col min="3" max="3" width="9.28515625" style="19" customWidth="1"/>
    <col min="4" max="4" width="1.7109375" style="19" customWidth="1"/>
    <col min="5" max="8" width="11" style="19" customWidth="1"/>
    <col min="9" max="9" width="19.85546875" style="19" customWidth="1"/>
    <col min="10" max="10" width="0.7109375" style="19" customWidth="1"/>
    <col min="11" max="11" width="5" style="136" customWidth="1"/>
    <col min="12" max="12" width="20.5703125" style="23" bestFit="1" customWidth="1"/>
    <col min="13" max="13" width="1.7109375" style="101" customWidth="1"/>
    <col min="14" max="14" width="17.85546875" style="19" customWidth="1"/>
    <col min="15" max="15" width="9" style="148" customWidth="1"/>
    <col min="16" max="16" width="15.28515625" style="144" customWidth="1"/>
    <col min="17" max="17" width="1.5703125" style="3" customWidth="1"/>
    <col min="18" max="18" width="13.5703125" style="3" customWidth="1"/>
    <col min="19" max="19" width="1.7109375" style="3" customWidth="1"/>
    <col min="20" max="20" width="1.7109375" style="19" customWidth="1"/>
    <col min="21" max="21" width="20.5703125" style="19" customWidth="1"/>
    <col min="22" max="23" width="4.5703125" style="19" customWidth="1"/>
    <col min="24" max="16384" width="11.42578125" style="19"/>
  </cols>
  <sheetData>
    <row r="1" spans="2:24" x14ac:dyDescent="0.25">
      <c r="B1" s="17"/>
      <c r="C1" s="17"/>
      <c r="D1" s="17"/>
      <c r="E1" s="17"/>
      <c r="F1" s="17"/>
      <c r="G1" s="17"/>
      <c r="H1" s="17"/>
      <c r="I1" s="17"/>
      <c r="J1" s="17"/>
      <c r="K1" s="17"/>
      <c r="L1" s="27"/>
      <c r="M1" s="97"/>
      <c r="N1" s="17"/>
      <c r="O1" s="97"/>
      <c r="P1" s="97"/>
      <c r="Q1" s="17"/>
      <c r="R1" s="17"/>
      <c r="S1" s="17"/>
    </row>
    <row r="2" spans="2:24" ht="20.25" customHeight="1" x14ac:dyDescent="0.25">
      <c r="B2" s="39" t="s">
        <v>193</v>
      </c>
      <c r="C2" s="17"/>
      <c r="D2" s="17"/>
      <c r="E2" s="149" t="s">
        <v>524</v>
      </c>
      <c r="F2" s="17"/>
      <c r="G2" s="387"/>
      <c r="H2" s="388"/>
      <c r="I2" s="388"/>
      <c r="J2" s="388"/>
      <c r="K2" s="388"/>
      <c r="L2" s="389"/>
      <c r="M2" s="98"/>
      <c r="O2" s="97"/>
      <c r="P2" s="97"/>
      <c r="Q2" s="17"/>
      <c r="R2" s="17"/>
      <c r="S2" s="17"/>
    </row>
    <row r="3" spans="2:24" x14ac:dyDescent="0.25">
      <c r="B3" s="17"/>
      <c r="C3" s="17"/>
      <c r="D3" s="17"/>
      <c r="E3" s="17"/>
      <c r="F3" s="17"/>
      <c r="G3" s="17"/>
      <c r="H3" s="17"/>
      <c r="I3" s="17"/>
      <c r="J3" s="17"/>
      <c r="K3" s="17"/>
      <c r="L3" s="27"/>
      <c r="M3" s="97"/>
      <c r="N3" s="17"/>
      <c r="O3" s="97"/>
      <c r="Q3" s="17"/>
      <c r="S3" s="17"/>
    </row>
    <row r="4" spans="2:24" s="103" customFormat="1" ht="25.5" x14ac:dyDescent="0.25">
      <c r="B4" s="150" t="s">
        <v>525</v>
      </c>
      <c r="E4" s="149" t="str">
        <f>'EBM00241'!C2</f>
        <v>5200239M</v>
      </c>
      <c r="G4" s="123" t="str">
        <f>'EBM00241'!C1</f>
        <v>MCD Medical Line OMNI.view²</v>
      </c>
      <c r="M4" s="106"/>
      <c r="N4" s="104" t="str">
        <f>'EBM00241'!E1</f>
        <v>Rev. C</v>
      </c>
      <c r="O4" s="106"/>
      <c r="P4" s="106"/>
      <c r="Q4" s="105"/>
      <c r="R4" s="107"/>
      <c r="S4" s="107"/>
    </row>
    <row r="5" spans="2:24" x14ac:dyDescent="0.25">
      <c r="B5" s="394" t="s">
        <v>66</v>
      </c>
      <c r="C5" s="395"/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395"/>
      <c r="S5" s="395"/>
    </row>
    <row r="6" spans="2:24" ht="5.25" customHeight="1" x14ac:dyDescent="0.25">
      <c r="B6" s="3"/>
      <c r="C6" s="3"/>
      <c r="D6" s="3"/>
      <c r="E6" s="3"/>
      <c r="F6" s="3"/>
      <c r="G6" s="3"/>
      <c r="H6" s="3"/>
      <c r="I6" s="3"/>
      <c r="J6" s="3"/>
      <c r="K6" s="131"/>
      <c r="L6" s="66"/>
      <c r="M6" s="45"/>
      <c r="N6" s="3"/>
      <c r="O6" s="144"/>
      <c r="P6" s="368"/>
      <c r="Q6" s="4"/>
      <c r="R6" s="5"/>
      <c r="S6" s="4"/>
    </row>
    <row r="7" spans="2:24" ht="20.25" x14ac:dyDescent="0.25">
      <c r="B7" s="135" t="s">
        <v>526</v>
      </c>
      <c r="D7" s="3"/>
      <c r="E7" s="3"/>
      <c r="F7" s="3"/>
      <c r="G7" s="3"/>
      <c r="H7" s="3"/>
      <c r="I7" s="3"/>
      <c r="J7" s="65"/>
      <c r="K7" s="178"/>
      <c r="L7" s="24" t="s">
        <v>75</v>
      </c>
      <c r="M7" s="99"/>
      <c r="N7" s="138" t="s">
        <v>546</v>
      </c>
      <c r="O7" s="369" t="s">
        <v>716</v>
      </c>
      <c r="P7" s="370" t="s">
        <v>189</v>
      </c>
      <c r="Q7" s="1"/>
      <c r="R7" s="2"/>
      <c r="S7" s="1"/>
      <c r="U7" s="121" t="s">
        <v>543</v>
      </c>
      <c r="V7" s="136"/>
    </row>
    <row r="9" spans="2:24" s="131" customFormat="1" ht="5.25" customHeight="1" x14ac:dyDescent="0.25">
      <c r="C9" s="145"/>
      <c r="L9" s="179"/>
      <c r="M9" s="144"/>
      <c r="N9" s="179"/>
      <c r="O9" s="144"/>
      <c r="P9" s="372"/>
    </row>
    <row r="10" spans="2:24" s="3" customFormat="1" x14ac:dyDescent="0.25">
      <c r="C10" s="139" t="s">
        <v>187</v>
      </c>
      <c r="D10" s="29"/>
      <c r="E10" s="29" t="str">
        <f>'EBM00241'!C18</f>
        <v>Verpackungsset 2.0 TL³/OV² 21.5", 24", 27"</v>
      </c>
      <c r="F10" s="29"/>
      <c r="G10" s="29"/>
      <c r="H10" s="29"/>
      <c r="I10" s="29"/>
      <c r="J10" s="61"/>
      <c r="K10" s="115"/>
      <c r="L10" s="143" t="str">
        <f>IF(INDEX('EBM00241'!B:B,MATCH(E10,'EBM00241'!C:C,0))=0,"",INDEX('EBM00241'!B:B,MATCH(E10,'EBM00241'!C:C,0)))</f>
        <v>7200027M</v>
      </c>
      <c r="M10" s="100"/>
      <c r="N10" s="30">
        <f>VLOOKUP(L10,'EBM00241'!B:F,3,FALSE)</f>
        <v>1</v>
      </c>
      <c r="O10" s="144" t="str">
        <f>IFERROR(VLOOKUP(L10,#REF!,4,FALSE),"")</f>
        <v/>
      </c>
      <c r="P10" s="371">
        <f>IFERROR(VLOOKUP(L10,'EBM00241'!$B:$F,4,),)</f>
        <v>17.098765432098762</v>
      </c>
      <c r="Q10" s="29"/>
      <c r="R10" s="31"/>
      <c r="S10" s="32"/>
      <c r="U10" s="84">
        <f t="shared" ref="U10:U18" si="0">N10*P10</f>
        <v>17.098765432098762</v>
      </c>
      <c r="V10" s="144"/>
      <c r="X10" s="19"/>
    </row>
    <row r="11" spans="2:24" s="3" customFormat="1" x14ac:dyDescent="0.25">
      <c r="C11" s="139" t="s">
        <v>527</v>
      </c>
      <c r="D11" s="29"/>
      <c r="E11" s="140" t="str">
        <f>'EBM00241'!C19</f>
        <v>Aufkleber Verpackung MCD</v>
      </c>
      <c r="F11" s="29"/>
      <c r="G11" s="29"/>
      <c r="H11" s="29"/>
      <c r="I11" s="29"/>
      <c r="J11" s="61"/>
      <c r="K11" s="115"/>
      <c r="L11" s="143" t="str">
        <f>IF(INDEX('EBM00241'!B:B,MATCH(E11,'EBM00241'!C:C,0))=0,"",INDEX('EBM00241'!B:B,MATCH(E11,'EBM00241'!C:C,0)))</f>
        <v>7000056M</v>
      </c>
      <c r="M11" s="100"/>
      <c r="N11" s="141">
        <f>VLOOKUP(L11,'EBM00241'!B:F,3,FALSE)</f>
        <v>2</v>
      </c>
      <c r="O11" s="144" t="str">
        <f>IFERROR(VLOOKUP(L11,#REF!,4,FALSE),"")</f>
        <v/>
      </c>
      <c r="P11" s="371">
        <f>IFERROR(VLOOKUP(L11,'EBM00241'!$B:$F,4,),)</f>
        <v>0.68617283950617269</v>
      </c>
      <c r="Q11" s="29"/>
      <c r="R11" s="31"/>
      <c r="S11" s="32"/>
      <c r="U11" s="84">
        <f t="shared" si="0"/>
        <v>1.3723456790123454</v>
      </c>
      <c r="V11" s="144"/>
      <c r="X11" s="19"/>
    </row>
    <row r="12" spans="2:24" s="3" customFormat="1" x14ac:dyDescent="0.25">
      <c r="C12" s="154" t="s">
        <v>528</v>
      </c>
      <c r="D12" s="29"/>
      <c r="E12" s="140" t="str">
        <f>'EBM00241'!C20</f>
        <v>Rändelschraube TL / OV verzinkt 4x8mm</v>
      </c>
      <c r="F12" s="29"/>
      <c r="G12" s="29"/>
      <c r="H12" s="29"/>
      <c r="I12" s="29"/>
      <c r="J12" s="61"/>
      <c r="K12" s="115"/>
      <c r="L12" s="143" t="str">
        <f>IF(INDEX('EBM00241'!B:B,MATCH(E12,'EBM00241'!C:C,0))=0,"",INDEX('EBM00241'!B:B,MATCH(E12,'EBM00241'!C:C,0)))</f>
        <v>7000102M-1</v>
      </c>
      <c r="M12" s="100"/>
      <c r="N12" s="141">
        <f>VLOOKUP(L12,'EBM00241'!B:F,3,FALSE)</f>
        <v>4</v>
      </c>
      <c r="O12" s="144" t="str">
        <f>IFERROR(VLOOKUP(L12,#REF!,4,FALSE),"")</f>
        <v/>
      </c>
      <c r="P12" s="371">
        <f>IFERROR(VLOOKUP(L12,'EBM00241'!$B:$F,4,),)</f>
        <v>0.39382716049382716</v>
      </c>
      <c r="Q12" s="29"/>
      <c r="R12" s="31"/>
      <c r="S12" s="32"/>
      <c r="U12" s="84">
        <f t="shared" si="0"/>
        <v>1.5753086419753086</v>
      </c>
      <c r="V12" s="144"/>
      <c r="X12" s="19"/>
    </row>
    <row r="13" spans="2:24" s="3" customFormat="1" x14ac:dyDescent="0.25">
      <c r="C13" s="28"/>
      <c r="D13" s="29"/>
      <c r="E13" s="140" t="str">
        <f>'EBM00241'!C21</f>
        <v>Produktschutzhülle MCD TL³ /OV²</v>
      </c>
      <c r="F13" s="29"/>
      <c r="G13" s="29"/>
      <c r="H13" s="29"/>
      <c r="I13" s="29"/>
      <c r="J13" s="61"/>
      <c r="K13" s="115"/>
      <c r="L13" s="143" t="str">
        <f>IF(INDEX('EBM00241'!B:B,MATCH(E13,'EBM00241'!C:C,0))=0,"",INDEX('EBM00241'!B:B,MATCH(E13,'EBM00241'!C:C,0)))</f>
        <v>7200019M-1</v>
      </c>
      <c r="M13" s="100"/>
      <c r="N13" s="141">
        <f>VLOOKUP(L13,'EBM00241'!B:F,3,FALSE)</f>
        <v>1</v>
      </c>
      <c r="O13" s="144" t="str">
        <f>IFERROR(VLOOKUP(L13,#REF!,4,FALSE),"")</f>
        <v/>
      </c>
      <c r="P13" s="371">
        <f>IFERROR(VLOOKUP(L13,'EBM00241'!$B:$F,4,),)</f>
        <v>0.49135802469135803</v>
      </c>
      <c r="Q13" s="29"/>
      <c r="R13" s="31"/>
      <c r="S13" s="32"/>
      <c r="U13" s="84">
        <f t="shared" si="0"/>
        <v>0.49135802469135803</v>
      </c>
      <c r="V13" s="144"/>
      <c r="X13" s="19"/>
    </row>
    <row r="14" spans="2:24" s="3" customFormat="1" x14ac:dyDescent="0.25">
      <c r="C14" s="28"/>
      <c r="D14" s="29"/>
      <c r="E14" s="140" t="str">
        <f>'EBM00241'!C22</f>
        <v>Baukosten</v>
      </c>
      <c r="F14" s="29"/>
      <c r="G14" s="29"/>
      <c r="H14" s="29"/>
      <c r="I14" s="29"/>
      <c r="J14" s="61"/>
      <c r="K14" s="115"/>
      <c r="L14" s="143" t="str">
        <f>IF(INDEX('EBM00241'!B:B,MATCH(E14,'EBM00241'!C:C,0))=0,"",INDEX('EBM00241'!B:B,MATCH(E14,'EBM00241'!C:C,0)))</f>
        <v>8110005M</v>
      </c>
      <c r="M14" s="100"/>
      <c r="N14" s="141">
        <f>VLOOKUP(L14,'EBM00241'!B:F,3,FALSE)</f>
        <v>1</v>
      </c>
      <c r="O14" s="144"/>
      <c r="P14" s="371">
        <f>IFERROR(VLOOKUP(L14,'EBM00241'!$B:$F,4,),)</f>
        <v>6.1728395061728394</v>
      </c>
      <c r="Q14" s="29"/>
      <c r="R14" s="31"/>
      <c r="S14" s="32"/>
      <c r="U14" s="84">
        <f t="shared" si="0"/>
        <v>6.1728395061728394</v>
      </c>
      <c r="V14" s="144"/>
      <c r="X14" s="19"/>
    </row>
    <row r="15" spans="2:24" s="3" customFormat="1" ht="5.25" customHeight="1" x14ac:dyDescent="0.25">
      <c r="C15" s="60"/>
      <c r="K15" s="131"/>
      <c r="L15" s="66"/>
      <c r="M15" s="45"/>
      <c r="N15" s="30"/>
      <c r="O15" s="144"/>
      <c r="P15" s="371"/>
      <c r="U15" s="84">
        <f t="shared" si="0"/>
        <v>0</v>
      </c>
      <c r="V15" s="144"/>
      <c r="X15" s="19"/>
    </row>
    <row r="16" spans="2:24" s="3" customFormat="1" x14ac:dyDescent="0.25">
      <c r="B16" s="135" t="s">
        <v>570</v>
      </c>
      <c r="C16" s="60"/>
      <c r="E16" s="61"/>
      <c r="F16" s="61"/>
      <c r="G16" s="61"/>
      <c r="H16" s="61"/>
      <c r="I16" s="61"/>
      <c r="J16" s="65"/>
      <c r="K16" s="178"/>
      <c r="L16" s="66"/>
      <c r="M16" s="100"/>
      <c r="N16" s="30"/>
      <c r="O16" s="144"/>
      <c r="P16" s="371"/>
      <c r="R16" s="14"/>
      <c r="S16" s="7"/>
      <c r="U16" s="84">
        <f t="shared" si="0"/>
        <v>0</v>
      </c>
      <c r="V16" s="144"/>
      <c r="X16" s="19"/>
    </row>
    <row r="17" spans="2:24" s="3" customFormat="1" ht="5.25" customHeight="1" x14ac:dyDescent="0.25">
      <c r="C17" s="60"/>
      <c r="K17" s="131"/>
      <c r="L17" s="66"/>
      <c r="M17" s="45"/>
      <c r="N17" s="30"/>
      <c r="O17" s="144"/>
      <c r="P17" s="371"/>
      <c r="U17" s="84">
        <f t="shared" si="0"/>
        <v>0</v>
      </c>
      <c r="V17" s="144"/>
      <c r="X17" s="19"/>
    </row>
    <row r="18" spans="2:24" x14ac:dyDescent="0.25">
      <c r="B18" s="3"/>
      <c r="C18" s="145" t="s">
        <v>529</v>
      </c>
      <c r="D18" s="3"/>
      <c r="E18" s="396" t="s">
        <v>69</v>
      </c>
      <c r="F18" s="397"/>
      <c r="G18" s="397"/>
      <c r="H18" s="397"/>
      <c r="I18" s="398"/>
      <c r="J18" s="65"/>
      <c r="K18" s="178"/>
      <c r="L18" s="66" t="str">
        <f>IF(INDEX('EBM00241'!B:B,MATCH(E18,'EBM00241'!C:C,0))=0,"",INDEX('EBM00241'!B:B,MATCH(E18,'EBM00241'!C:C,0)))</f>
        <v>5200205M_B</v>
      </c>
      <c r="M18" s="100"/>
      <c r="N18" s="66">
        <v>1</v>
      </c>
      <c r="O18" s="144" t="str">
        <f>IFERROR(VLOOKUP(LEFT(L18,8),#REF!,4,FALSE),"")</f>
        <v/>
      </c>
      <c r="P18" s="371">
        <f>IFERROR(VLOOKUP(L18,'EBM00241'!$B:$F,4,),)</f>
        <v>944.67901234567898</v>
      </c>
      <c r="Q18" s="7"/>
      <c r="R18" s="14"/>
      <c r="S18" s="7"/>
      <c r="T18" s="26" t="e">
        <f>O18*Q18</f>
        <v>#VALUE!</v>
      </c>
      <c r="U18" s="84">
        <f t="shared" si="0"/>
        <v>944.67901234567898</v>
      </c>
      <c r="V18" s="84"/>
    </row>
    <row r="19" spans="2:24" s="3" customFormat="1" ht="16.5" customHeight="1" x14ac:dyDescent="0.25">
      <c r="B19" s="399" t="s">
        <v>513</v>
      </c>
      <c r="C19" s="400"/>
      <c r="D19" s="400"/>
      <c r="E19" s="400"/>
      <c r="F19" s="400"/>
      <c r="G19" s="400"/>
      <c r="H19" s="400"/>
      <c r="I19" s="400"/>
      <c r="J19" s="400"/>
      <c r="K19" s="400"/>
      <c r="L19" s="400"/>
      <c r="M19" s="400"/>
      <c r="N19" s="400"/>
      <c r="O19" s="400"/>
      <c r="P19" s="400"/>
      <c r="Q19" s="400"/>
      <c r="R19" s="400"/>
      <c r="S19" s="400"/>
      <c r="T19" s="400"/>
      <c r="U19" s="84"/>
      <c r="V19" s="144"/>
    </row>
    <row r="20" spans="2:24" s="131" customFormat="1" ht="5.25" customHeight="1" x14ac:dyDescent="0.25">
      <c r="C20" s="145"/>
      <c r="L20" s="166"/>
      <c r="M20" s="144"/>
      <c r="N20" s="141"/>
      <c r="O20" s="144"/>
      <c r="P20" s="371"/>
      <c r="U20" s="84"/>
      <c r="V20" s="144"/>
      <c r="X20" s="136"/>
    </row>
    <row r="21" spans="2:24" s="3" customFormat="1" x14ac:dyDescent="0.25">
      <c r="C21" s="145" t="s">
        <v>530</v>
      </c>
      <c r="E21" s="396" t="s">
        <v>226</v>
      </c>
      <c r="F21" s="397"/>
      <c r="G21" s="397"/>
      <c r="H21" s="397"/>
      <c r="I21" s="398"/>
      <c r="J21" s="65"/>
      <c r="K21" s="178"/>
      <c r="L21" s="66"/>
      <c r="M21" s="100"/>
      <c r="N21" s="30"/>
      <c r="O21" s="144"/>
      <c r="P21" s="371"/>
      <c r="R21" s="14"/>
      <c r="S21" s="7"/>
      <c r="U21" s="84">
        <f t="shared" ref="U21:U32" si="1">N21*P21</f>
        <v>0</v>
      </c>
      <c r="V21" s="144"/>
      <c r="X21" s="19"/>
    </row>
    <row r="22" spans="2:24" s="3" customFormat="1" ht="5.25" customHeight="1" x14ac:dyDescent="0.25">
      <c r="C22" s="60"/>
      <c r="K22" s="131"/>
      <c r="L22" s="66"/>
      <c r="M22" s="45"/>
      <c r="N22" s="30"/>
      <c r="O22" s="144"/>
      <c r="P22" s="371"/>
      <c r="U22" s="84">
        <f t="shared" si="1"/>
        <v>0</v>
      </c>
      <c r="V22" s="144"/>
      <c r="X22" s="19"/>
    </row>
    <row r="23" spans="2:24" s="131" customFormat="1" x14ac:dyDescent="0.25">
      <c r="C23" s="145"/>
      <c r="E23" s="392" t="str">
        <f>IF(E21="---","---",IF(E21="Internes Netzteil",'EBM00241'!C36,IF(E21="Externes Netzteil",'EBM00241'!C41,'EBM00241'!C44)))</f>
        <v>Netzteil OV² abgew. Binder-Stecker 60W BET MCD</v>
      </c>
      <c r="F23" s="392"/>
      <c r="G23" s="392"/>
      <c r="H23" s="392"/>
      <c r="I23" s="392"/>
      <c r="L23" s="143" t="str">
        <f>IF(INDEX('EBM00241'!B:B,MATCH(E23,'EBM00241'!C:C,0))=0,"",INDEX('EBM00241'!B:B,MATCH(E23,'EBM00241'!C:C,0)))</f>
        <v>6300059M-1</v>
      </c>
      <c r="M23" s="144"/>
      <c r="N23" s="141">
        <f>VLOOKUP(L23,'EBM00241'!B:F,3,FALSE)</f>
        <v>1</v>
      </c>
      <c r="O23" s="144" t="str">
        <f>IFERROR(VLOOKUP(L23,#REF!,4,FALSE),"")</f>
        <v/>
      </c>
      <c r="P23" s="371">
        <f>IFERROR(VLOOKUP(L23,'EBM00241'!$B:$F,4,),)</f>
        <v>43.470901234567897</v>
      </c>
      <c r="U23" s="84">
        <f t="shared" si="1"/>
        <v>43.470901234567897</v>
      </c>
      <c r="V23" s="144"/>
      <c r="X23" s="136"/>
    </row>
    <row r="24" spans="2:24" s="131" customFormat="1" x14ac:dyDescent="0.25">
      <c r="C24" s="145"/>
      <c r="E24" s="392" t="str">
        <f>IF(E21="---","---",IF(E21="Internes Netzteil",'EBM00241'!C37,IF(E21="Externes Netzteil",'EBM00241'!C42,"---")))</f>
        <v>Stromkabel 2 Pin, C7, 2m, schwarz, EU</v>
      </c>
      <c r="F24" s="392"/>
      <c r="G24" s="392"/>
      <c r="H24" s="392"/>
      <c r="I24" s="392"/>
      <c r="L24" s="143" t="str">
        <f>IF(INDEX('EBM00241'!B:B,MATCH(E24,'EBM00241'!C:C,0))=0,"",INDEX('EBM00241'!B:B,MATCH(E24,'EBM00241'!C:C,0)))</f>
        <v>7100130M-1</v>
      </c>
      <c r="M24" s="144"/>
      <c r="N24" s="141">
        <f>VLOOKUP(L24,'EBM00241'!B:F,3,FALSE)</f>
        <v>1</v>
      </c>
      <c r="O24" s="144" t="str">
        <f>IFERROR(VLOOKUP(L24,#REF!,4,FALSE),"")</f>
        <v/>
      </c>
      <c r="P24" s="371">
        <f>IFERROR(VLOOKUP(L24,'EBM00241'!$B:$F,4,),)</f>
        <v>3.5432098765432096</v>
      </c>
      <c r="U24" s="84">
        <f t="shared" si="1"/>
        <v>3.5432098765432096</v>
      </c>
      <c r="V24" s="144"/>
      <c r="X24" s="136"/>
    </row>
    <row r="25" spans="2:24" s="3" customFormat="1" x14ac:dyDescent="0.25">
      <c r="C25" s="60"/>
      <c r="E25" s="392" t="str">
        <f>IF(E21="---","---",IF(E21="Internes Netzteil",'EBM00241'!C38,"---"))</f>
        <v>---</v>
      </c>
      <c r="F25" s="392"/>
      <c r="G25" s="392"/>
      <c r="H25" s="392"/>
      <c r="I25" s="392"/>
      <c r="J25" s="65"/>
      <c r="K25" s="178"/>
      <c r="L25" s="143" t="str">
        <f>IF(INDEX('EBM00241'!B:B,MATCH(E25,'EBM00241'!C:C,0))=0,"",INDEX('EBM00241'!B:B,MATCH(E25,'EBM00241'!C:C,0)))</f>
        <v>---</v>
      </c>
      <c r="M25" s="100"/>
      <c r="N25" s="141">
        <f>VLOOKUP(L25,'EBM00241'!B:F,3,FALSE)</f>
        <v>1</v>
      </c>
      <c r="O25" s="144" t="str">
        <f>IFERROR(VLOOKUP(L25,#REF!,4,FALSE),"")</f>
        <v/>
      </c>
      <c r="P25" s="371">
        <f>IFERROR(VLOOKUP(L25,'EBM00241'!$B:$F,4,),)</f>
        <v>0</v>
      </c>
      <c r="Q25" s="32"/>
      <c r="R25" s="31"/>
      <c r="S25" s="32"/>
      <c r="U25" s="84">
        <f t="shared" si="1"/>
        <v>0</v>
      </c>
      <c r="V25" s="144"/>
      <c r="X25" s="19"/>
    </row>
    <row r="26" spans="2:24" s="3" customFormat="1" x14ac:dyDescent="0.25">
      <c r="C26" s="60"/>
      <c r="E26" s="392" t="str">
        <f>IF(E21="Internes Netzteil",'EBM00241'!C39,"---")</f>
        <v>---</v>
      </c>
      <c r="F26" s="392"/>
      <c r="G26" s="392"/>
      <c r="H26" s="392"/>
      <c r="I26" s="392"/>
      <c r="J26" s="65"/>
      <c r="K26" s="178"/>
      <c r="L26" s="143" t="str">
        <f>IF(INDEX('EBM00241'!B:B,MATCH(E26,'EBM00241'!C:C,0))=0,"",INDEX('EBM00241'!B:B,MATCH(E26,'EBM00241'!C:C,0)))</f>
        <v>---</v>
      </c>
      <c r="M26" s="100"/>
      <c r="N26" s="141">
        <f>VLOOKUP(L26,'EBM00241'!B:F,3,FALSE)</f>
        <v>1</v>
      </c>
      <c r="O26" s="144" t="str">
        <f>IFERROR(VLOOKUP(L26,#REF!,4,FALSE),"")</f>
        <v/>
      </c>
      <c r="P26" s="371">
        <f>IFERROR(VLOOKUP(L26,'EBM00241'!$B:$F,4,),)</f>
        <v>0</v>
      </c>
      <c r="Q26" s="32"/>
      <c r="R26" s="31"/>
      <c r="S26" s="32"/>
      <c r="U26" s="84">
        <f t="shared" si="1"/>
        <v>0</v>
      </c>
      <c r="V26" s="144"/>
      <c r="X26" s="19"/>
    </row>
    <row r="27" spans="2:24" s="3" customFormat="1" ht="4.5" customHeight="1" x14ac:dyDescent="0.25">
      <c r="C27" s="60"/>
      <c r="E27" s="60"/>
      <c r="F27" s="60"/>
      <c r="G27" s="60"/>
      <c r="H27" s="60"/>
      <c r="I27" s="60"/>
      <c r="K27" s="131"/>
      <c r="L27" s="66"/>
      <c r="M27" s="100"/>
      <c r="N27" s="66"/>
      <c r="O27" s="144"/>
      <c r="P27" s="371"/>
      <c r="R27" s="14"/>
      <c r="S27" s="7"/>
      <c r="U27" s="84">
        <f t="shared" si="1"/>
        <v>0</v>
      </c>
      <c r="V27" s="148"/>
      <c r="X27" s="19"/>
    </row>
    <row r="28" spans="2:24" s="131" customFormat="1" x14ac:dyDescent="0.25">
      <c r="C28" s="145" t="s">
        <v>571</v>
      </c>
      <c r="E28" s="396" t="s">
        <v>454</v>
      </c>
      <c r="F28" s="397"/>
      <c r="G28" s="397"/>
      <c r="H28" s="397"/>
      <c r="I28" s="398"/>
      <c r="L28" s="143" t="str">
        <f>IF(INDEX('EBM00241'!B:B,MATCH(E28,'EBM00241'!C:C,0))=0,"",INDEX('EBM00241'!B:B,MATCH(E28,'EBM00241'!C:C,0)))</f>
        <v>7100203M</v>
      </c>
      <c r="M28" s="147"/>
      <c r="N28" s="141">
        <f>VLOOKUP(L28,'EBM00241'!B:F,3,FALSE)</f>
        <v>1</v>
      </c>
      <c r="O28" s="144" t="str">
        <f>IFERROR(VLOOKUP(L28,#REF!,4,FALSE),"")</f>
        <v/>
      </c>
      <c r="P28" s="371">
        <f>IFERROR(VLOOKUP(L28,'EBM00241'!$B:$F,4,),)</f>
        <v>5.5555555555555554</v>
      </c>
      <c r="R28" s="134"/>
      <c r="S28" s="7"/>
      <c r="U28" s="84">
        <f t="shared" si="1"/>
        <v>5.5555555555555554</v>
      </c>
      <c r="V28" s="148"/>
      <c r="X28" s="136"/>
    </row>
    <row r="29" spans="2:24" s="131" customFormat="1" ht="7.35" customHeight="1" x14ac:dyDescent="0.25">
      <c r="C29" s="145"/>
      <c r="E29" s="145"/>
      <c r="F29" s="145"/>
      <c r="G29" s="145"/>
      <c r="H29" s="145"/>
      <c r="I29" s="145"/>
      <c r="L29" s="143"/>
      <c r="M29" s="147"/>
      <c r="N29" s="143"/>
      <c r="O29" s="144"/>
      <c r="P29" s="371"/>
      <c r="R29" s="134"/>
      <c r="S29" s="7"/>
      <c r="U29" s="84">
        <f t="shared" si="1"/>
        <v>0</v>
      </c>
      <c r="V29" s="148"/>
      <c r="X29" s="136"/>
    </row>
    <row r="30" spans="2:24" x14ac:dyDescent="0.25">
      <c r="B30" s="135" t="s">
        <v>539</v>
      </c>
      <c r="C30" s="12"/>
      <c r="U30" s="84">
        <f t="shared" si="1"/>
        <v>0</v>
      </c>
      <c r="V30" s="148"/>
    </row>
    <row r="31" spans="2:24" x14ac:dyDescent="0.25">
      <c r="B31" s="153" t="s">
        <v>540</v>
      </c>
      <c r="C31" s="12"/>
      <c r="U31" s="84">
        <f t="shared" si="1"/>
        <v>0</v>
      </c>
      <c r="V31" s="148"/>
    </row>
    <row r="32" spans="2:24" x14ac:dyDescent="0.25">
      <c r="C32" s="12"/>
      <c r="E32" s="33" t="str">
        <f>'EBM00241'!C24</f>
        <v>Herstellanweisung MCD Medical Line OMNI.view²</v>
      </c>
      <c r="F32" s="33"/>
      <c r="G32" s="33"/>
      <c r="H32" s="33"/>
      <c r="I32" s="33"/>
      <c r="J32" s="33"/>
      <c r="K32" s="142"/>
      <c r="L32" s="143" t="str">
        <f>IF(INDEX('EBM00241'!B:B,MATCH(E32,'EBM00241'!C:C,0))=0,"",INDEX('EBM00241'!B:B,MATCH(E32,'EBM00241'!C:C,0)))</f>
        <v>PMI00193_A</v>
      </c>
      <c r="N32" s="141">
        <f>VLOOKUP(L32,'EBM00241'!B:F,3,FALSE)</f>
        <v>1</v>
      </c>
      <c r="P32" s="373"/>
      <c r="Q32" s="1"/>
      <c r="R32" s="1"/>
      <c r="S32" s="1"/>
      <c r="U32" s="84">
        <f t="shared" si="1"/>
        <v>0</v>
      </c>
      <c r="V32" s="148"/>
    </row>
    <row r="33" spans="1:22" s="136" customFormat="1" x14ac:dyDescent="0.25">
      <c r="C33" s="133"/>
      <c r="E33" s="142" t="str">
        <f>'EBM00241'!C25</f>
        <v>Prüfanweisung MCD Medical Line OMNI.view²</v>
      </c>
      <c r="F33" s="142"/>
      <c r="G33" s="142"/>
      <c r="H33" s="142"/>
      <c r="I33" s="142"/>
      <c r="J33" s="142"/>
      <c r="K33" s="142"/>
      <c r="L33" s="143" t="str">
        <f>IF(INDEX('EBM00241'!B:B,MATCH(E33,'EBM00241'!C:C,0))=0,"",INDEX('EBM00241'!B:B,MATCH(E33,'EBM00241'!C:C,0)))</f>
        <v>PTI00191_D</v>
      </c>
      <c r="M33" s="148"/>
      <c r="N33" s="141" t="str">
        <f>VLOOKUP(L33,'EBM00241'!B:F,3,FALSE)</f>
        <v>---</v>
      </c>
      <c r="O33" s="148"/>
      <c r="P33" s="373"/>
      <c r="Q33" s="130"/>
      <c r="R33" s="130"/>
      <c r="S33" s="130"/>
      <c r="U33" s="84"/>
      <c r="V33" s="148"/>
    </row>
    <row r="34" spans="1:22" s="136" customFormat="1" x14ac:dyDescent="0.25">
      <c r="C34" s="133"/>
      <c r="E34" s="142" t="str">
        <f>'EBM00241'!C26</f>
        <v>Verpackungsanweisung MCD Medical Line OMNI.view²</v>
      </c>
      <c r="F34" s="142"/>
      <c r="G34" s="142"/>
      <c r="H34" s="142"/>
      <c r="I34" s="142"/>
      <c r="J34" s="142"/>
      <c r="K34" s="142"/>
      <c r="L34" s="143" t="str">
        <f>IF(INDEX('EBM00241'!B:B,MATCH(E34,'EBM00241'!C:C,0))=0,"",INDEX('EBM00241'!B:B,MATCH(E34,'EBM00241'!C:C,0)))</f>
        <v>PPI00188_D</v>
      </c>
      <c r="M34" s="148"/>
      <c r="N34" s="141" t="str">
        <f>VLOOKUP(L34,'EBM00241'!B:F,3,FALSE)</f>
        <v>---</v>
      </c>
      <c r="O34" s="148"/>
      <c r="P34" s="373"/>
      <c r="Q34" s="130"/>
      <c r="R34" s="130"/>
      <c r="S34" s="130"/>
      <c r="U34" s="84"/>
      <c r="V34" s="148"/>
    </row>
    <row r="35" spans="1:22" x14ac:dyDescent="0.25">
      <c r="C35" s="12"/>
      <c r="E35" s="142" t="str">
        <f>'EBM00241'!C27</f>
        <v>DHR MCD OMNI.view²</v>
      </c>
      <c r="F35" s="33"/>
      <c r="G35" s="33"/>
      <c r="H35" s="33"/>
      <c r="I35" s="33"/>
      <c r="J35" s="33"/>
      <c r="K35" s="142"/>
      <c r="L35" s="143" t="str">
        <f>IF(INDEX('EBM00241'!B:B,MATCH(E35,'EBM00241'!C:C,0))=0,"",INDEX('EBM00241'!B:B,MATCH(E35,'EBM00241'!C:C,0)))</f>
        <v>PTR00304_A</v>
      </c>
      <c r="N35" s="141" t="str">
        <f>VLOOKUP(L35,'EBM00241'!B:F,3,FALSE)</f>
        <v>---</v>
      </c>
      <c r="P35" s="373"/>
      <c r="Q35" s="1"/>
      <c r="R35" s="1"/>
      <c r="S35" s="1"/>
      <c r="U35" s="84"/>
      <c r="V35" s="148"/>
    </row>
    <row r="36" spans="1:22" x14ac:dyDescent="0.25">
      <c r="C36" s="12"/>
      <c r="E36" s="142" t="str">
        <f>'EBM00241'!C28</f>
        <v>Ratinglabel MCD OMNI.view²</v>
      </c>
      <c r="F36" s="33"/>
      <c r="G36" s="33"/>
      <c r="H36" s="33"/>
      <c r="I36" s="33"/>
      <c r="J36" s="33"/>
      <c r="K36" s="142"/>
      <c r="L36" s="143" t="str">
        <f>IF(INDEX('EBM00241'!B:B,MATCH(E36,'EBM00241'!C:C,0))=0,"",INDEX('EBM00241'!B:B,MATCH(E36,'EBM00241'!C:C,0)))</f>
        <v>BB18-0003_A</v>
      </c>
      <c r="N36" s="141">
        <f>VLOOKUP(L36,'EBM00241'!B:F,3,FALSE)</f>
        <v>2</v>
      </c>
      <c r="P36" s="373"/>
      <c r="Q36" s="1"/>
      <c r="R36" s="1"/>
      <c r="S36" s="1"/>
      <c r="U36" s="84">
        <f>N36*P36</f>
        <v>0</v>
      </c>
      <c r="V36" s="148"/>
    </row>
    <row r="37" spans="1:22" x14ac:dyDescent="0.25">
      <c r="C37" s="12"/>
      <c r="E37" s="142" t="str">
        <f>'EBM00241'!C29</f>
        <v>Lager- / Transportlabel MCD TL³ / OV²</v>
      </c>
      <c r="F37" s="33"/>
      <c r="G37" s="33"/>
      <c r="H37" s="33"/>
      <c r="I37" s="33"/>
      <c r="J37" s="33"/>
      <c r="K37" s="142"/>
      <c r="L37" s="143" t="str">
        <f>IF(INDEX('EBM00241'!B:B,MATCH(E37,'EBM00241'!C:C,0))=0,"",INDEX('EBM00241'!B:B,MATCH(E37,'EBM00241'!C:C,0)))</f>
        <v>BB16-0001_A</v>
      </c>
      <c r="N37" s="141">
        <f>VLOOKUP(L37,'EBM00241'!B:F,3,FALSE)</f>
        <v>1</v>
      </c>
      <c r="P37" s="373"/>
      <c r="Q37" s="1"/>
      <c r="R37" s="1"/>
      <c r="S37" s="1"/>
      <c r="U37" s="84">
        <f>N37*P37</f>
        <v>0</v>
      </c>
      <c r="V37" s="148"/>
    </row>
    <row r="38" spans="1:22" ht="5.25" customHeight="1" x14ac:dyDescent="0.25">
      <c r="C38" s="12"/>
      <c r="E38" s="33"/>
      <c r="F38" s="33"/>
      <c r="G38" s="33"/>
      <c r="H38" s="33"/>
      <c r="I38" s="33"/>
      <c r="J38" s="33"/>
      <c r="K38" s="142"/>
      <c r="L38" s="34"/>
      <c r="N38" s="33"/>
      <c r="U38" s="84">
        <f>N38*P38</f>
        <v>0</v>
      </c>
      <c r="V38" s="148"/>
    </row>
    <row r="39" spans="1:22" ht="20.25" x14ac:dyDescent="0.25">
      <c r="B39" s="129" t="s">
        <v>541</v>
      </c>
      <c r="C39" s="133"/>
      <c r="P39" s="374"/>
      <c r="Q39" s="1"/>
      <c r="R39" s="1"/>
      <c r="S39" s="1"/>
      <c r="U39" s="84">
        <f>N39*P39</f>
        <v>0</v>
      </c>
      <c r="V39" s="148"/>
    </row>
    <row r="40" spans="1:22" ht="5.25" customHeight="1" x14ac:dyDescent="0.25">
      <c r="B40" s="136"/>
      <c r="C40" s="133"/>
      <c r="T40" s="84" t="e">
        <f>SUM(T10:T38)</f>
        <v>#VALUE!</v>
      </c>
      <c r="U40" s="84">
        <f>SUM(U10:U38)</f>
        <v>1023.9592962962962</v>
      </c>
      <c r="V40" s="84"/>
    </row>
    <row r="41" spans="1:22" x14ac:dyDescent="0.25">
      <c r="B41" s="136"/>
      <c r="C41" s="132" t="s">
        <v>542</v>
      </c>
      <c r="E41" s="387" t="s">
        <v>79</v>
      </c>
      <c r="F41" s="388"/>
      <c r="G41" s="388"/>
      <c r="H41" s="388"/>
      <c r="I41" s="389"/>
      <c r="J41" s="65"/>
      <c r="K41" s="178"/>
      <c r="L41" s="143">
        <f>IF(INDEX('EBM00241'!B:B,MATCH(E41,'EBM00241'!C:C,0))=0,"",INDEX('EBM00241'!B:B,MATCH(E41,'EBM00241'!C:C,0)))</f>
        <v>136</v>
      </c>
      <c r="M41" s="100"/>
      <c r="N41" s="141">
        <f>VLOOKUP(L41,'EBM00241'!B:F,3,FALSE)</f>
        <v>1</v>
      </c>
      <c r="R41" s="1"/>
      <c r="S41" s="85">
        <f>VLOOKUP(L41,'EBM00241'!B51:E59,4,FALSE)</f>
        <v>0</v>
      </c>
      <c r="T41" s="35"/>
      <c r="U41" s="35">
        <f>U40*S41</f>
        <v>0</v>
      </c>
      <c r="V41" s="125"/>
    </row>
    <row r="42" spans="1:22" ht="5.25" customHeight="1" x14ac:dyDescent="0.25">
      <c r="B42" s="136"/>
      <c r="C42" s="133"/>
    </row>
    <row r="43" spans="1:22" ht="18" customHeight="1" x14ac:dyDescent="0.25">
      <c r="A43" s="36"/>
      <c r="B43" s="36"/>
      <c r="C43" s="37"/>
      <c r="D43" s="36"/>
      <c r="E43" s="36"/>
      <c r="F43" s="36"/>
      <c r="G43" s="36"/>
      <c r="H43" s="36"/>
      <c r="I43" s="36"/>
      <c r="J43" s="36"/>
      <c r="K43" s="36"/>
      <c r="L43" s="38"/>
      <c r="M43" s="102"/>
      <c r="O43" s="102"/>
      <c r="P43" s="375" t="s">
        <v>16</v>
      </c>
      <c r="Q43" s="68"/>
      <c r="R43" s="68"/>
      <c r="S43" s="68"/>
      <c r="T43" s="69"/>
      <c r="U43" s="122">
        <f t="shared" ref="U43" si="2">SUM(U40:U41)</f>
        <v>1023.9592962962962</v>
      </c>
      <c r="V43" s="69"/>
    </row>
    <row r="44" spans="1:22" ht="3.75" customHeight="1" x14ac:dyDescent="0.25">
      <c r="C44" s="64"/>
      <c r="D44" s="64"/>
      <c r="E44" s="64"/>
      <c r="F44" s="64"/>
      <c r="G44" s="64"/>
      <c r="H44" s="64"/>
      <c r="N44" s="49"/>
      <c r="P44" s="375"/>
      <c r="R44" s="11"/>
      <c r="S44" s="11"/>
    </row>
    <row r="45" spans="1:22" ht="15" customHeight="1" x14ac:dyDescent="0.25">
      <c r="B45" s="390"/>
      <c r="C45" s="390"/>
      <c r="D45" s="390"/>
      <c r="E45" s="390"/>
      <c r="F45" s="390"/>
      <c r="G45" s="390"/>
      <c r="H45" s="390"/>
      <c r="I45" s="390"/>
      <c r="J45" s="390"/>
      <c r="K45" s="390"/>
      <c r="L45" s="390"/>
      <c r="M45" s="390"/>
      <c r="N45" s="390"/>
      <c r="O45" s="390"/>
      <c r="P45" s="390"/>
      <c r="Q45" s="390"/>
      <c r="R45" s="390"/>
      <c r="S45" s="390"/>
      <c r="U45" s="152" t="s">
        <v>545</v>
      </c>
      <c r="V45" s="136"/>
    </row>
    <row r="46" spans="1:22" ht="15" customHeight="1" x14ac:dyDescent="0.25">
      <c r="B46" s="390"/>
      <c r="C46" s="390"/>
      <c r="D46" s="390"/>
      <c r="E46" s="390"/>
      <c r="F46" s="390"/>
      <c r="G46" s="390"/>
      <c r="H46" s="390"/>
      <c r="I46" s="390"/>
      <c r="J46" s="390"/>
      <c r="K46" s="390"/>
      <c r="L46" s="390"/>
      <c r="M46" s="390"/>
      <c r="N46" s="390"/>
      <c r="O46" s="390"/>
      <c r="P46" s="390"/>
      <c r="Q46" s="390"/>
      <c r="R46" s="390"/>
      <c r="S46" s="390"/>
    </row>
    <row r="47" spans="1:22" x14ac:dyDescent="0.25">
      <c r="B47" s="390"/>
      <c r="C47" s="390"/>
      <c r="D47" s="390"/>
      <c r="E47" s="390"/>
      <c r="F47" s="390"/>
      <c r="G47" s="390"/>
      <c r="H47" s="390"/>
      <c r="I47" s="390"/>
      <c r="J47" s="390"/>
      <c r="K47" s="390"/>
      <c r="L47" s="390"/>
      <c r="M47" s="390"/>
      <c r="N47" s="390"/>
      <c r="O47" s="390"/>
      <c r="P47" s="390"/>
      <c r="Q47" s="390"/>
      <c r="R47" s="390"/>
      <c r="S47" s="390"/>
    </row>
    <row r="48" spans="1:22" x14ac:dyDescent="0.25">
      <c r="B48" s="390"/>
      <c r="C48" s="390"/>
      <c r="D48" s="390"/>
      <c r="E48" s="390"/>
      <c r="F48" s="390"/>
      <c r="G48" s="390"/>
      <c r="H48" s="390"/>
      <c r="I48" s="390"/>
      <c r="J48" s="390"/>
      <c r="K48" s="390"/>
      <c r="L48" s="390"/>
      <c r="M48" s="390"/>
      <c r="N48" s="390"/>
      <c r="O48" s="390"/>
      <c r="P48" s="390"/>
      <c r="Q48" s="390"/>
      <c r="R48" s="390"/>
      <c r="S48" s="390"/>
    </row>
    <row r="49" spans="1:20" x14ac:dyDescent="0.25">
      <c r="B49" s="390"/>
      <c r="C49" s="390"/>
      <c r="D49" s="390"/>
      <c r="E49" s="390"/>
      <c r="F49" s="390"/>
      <c r="G49" s="390"/>
      <c r="H49" s="390"/>
      <c r="I49" s="390"/>
      <c r="J49" s="390"/>
      <c r="K49" s="390"/>
      <c r="L49" s="390"/>
      <c r="M49" s="390"/>
      <c r="N49" s="390"/>
      <c r="O49" s="390"/>
      <c r="P49" s="390"/>
      <c r="Q49" s="390"/>
      <c r="R49" s="390"/>
      <c r="S49" s="390"/>
    </row>
    <row r="50" spans="1:20" s="136" customFormat="1" x14ac:dyDescent="0.25">
      <c r="B50" s="386" t="str">
        <f>IF(MAX(Sonstiges!B8:B23)&gt;0,"Achtung! Freie Kalkulation erstellt","")</f>
        <v/>
      </c>
      <c r="C50" s="386"/>
      <c r="D50" s="386"/>
      <c r="E50" s="386"/>
      <c r="F50" s="386"/>
      <c r="G50" s="386"/>
      <c r="H50" s="386"/>
      <c r="I50" s="386"/>
      <c r="J50" s="386"/>
      <c r="K50" s="386"/>
      <c r="L50" s="386"/>
      <c r="M50" s="386"/>
      <c r="N50" s="386"/>
      <c r="O50" s="386"/>
      <c r="P50" s="386"/>
      <c r="Q50" s="386"/>
      <c r="R50" s="386"/>
      <c r="S50" s="386"/>
    </row>
    <row r="51" spans="1:20" ht="35.1" customHeight="1" x14ac:dyDescent="0.25">
      <c r="B51" s="382" t="s">
        <v>19</v>
      </c>
      <c r="C51" s="382"/>
      <c r="D51" s="383" t="s">
        <v>21</v>
      </c>
      <c r="E51" s="383"/>
      <c r="F51" s="383"/>
      <c r="G51" s="383"/>
      <c r="H51" s="384" t="s">
        <v>22</v>
      </c>
      <c r="I51" s="384"/>
      <c r="J51" s="384"/>
      <c r="K51" s="384"/>
      <c r="L51" s="384"/>
      <c r="M51" s="384"/>
      <c r="N51" s="384"/>
      <c r="O51" s="384"/>
      <c r="P51" s="384" t="s">
        <v>23</v>
      </c>
      <c r="Q51" s="384"/>
      <c r="R51" s="384"/>
      <c r="S51" s="384"/>
    </row>
    <row r="52" spans="1:20" ht="35.1" customHeight="1" x14ac:dyDescent="0.25">
      <c r="B52" s="378" t="s">
        <v>20</v>
      </c>
      <c r="C52" s="378"/>
      <c r="D52" s="385"/>
      <c r="E52" s="385"/>
      <c r="F52" s="385"/>
      <c r="G52" s="385"/>
      <c r="H52" s="380"/>
      <c r="I52" s="380"/>
      <c r="J52" s="380"/>
      <c r="K52" s="380"/>
      <c r="L52" s="380"/>
      <c r="M52" s="380"/>
      <c r="N52" s="380"/>
      <c r="O52" s="380"/>
      <c r="P52" s="381"/>
      <c r="Q52" s="381"/>
      <c r="R52" s="381"/>
      <c r="S52" s="381"/>
    </row>
    <row r="53" spans="1:20" ht="35.1" customHeight="1" x14ac:dyDescent="0.25">
      <c r="B53" s="378" t="s">
        <v>34</v>
      </c>
      <c r="C53" s="378"/>
      <c r="D53" s="379"/>
      <c r="E53" s="379"/>
      <c r="F53" s="379"/>
      <c r="G53" s="379"/>
      <c r="H53" s="380"/>
      <c r="I53" s="380"/>
      <c r="J53" s="380"/>
      <c r="K53" s="380"/>
      <c r="L53" s="380"/>
      <c r="M53" s="380"/>
      <c r="N53" s="380"/>
      <c r="O53" s="380"/>
      <c r="P53" s="381"/>
      <c r="Q53" s="381"/>
      <c r="R53" s="381"/>
      <c r="S53" s="381"/>
    </row>
    <row r="54" spans="1:20" x14ac:dyDescent="0.25">
      <c r="A54" s="148"/>
      <c r="B54" s="148"/>
    </row>
    <row r="55" spans="1:20" ht="55.5" customHeight="1" x14ac:dyDescent="0.25">
      <c r="B55" s="11" t="str">
        <f ca="1">MID(CELL("Dateiname",$A$1),FIND("]",CELL("Dateiname",$A$1))+1,31)</f>
        <v>OV²</v>
      </c>
      <c r="D55" s="3"/>
      <c r="Q55" s="18"/>
      <c r="R55" s="137" t="s">
        <v>523</v>
      </c>
      <c r="S55" s="19"/>
      <c r="T55" s="192"/>
    </row>
    <row r="56" spans="1:20" ht="5.25" customHeight="1" x14ac:dyDescent="0.25"/>
  </sheetData>
  <sheetProtection algorithmName="SHA-512" hashValue="1JdUyj9VxzuXzPv6hb1iOYDm+Rw3tCgXpfr0nBZRRkQkKjtvkDGAFB4GXfbmjPylQRKa7RG4eVFTjB9TPSXo6A==" saltValue="/lzIhnptgyTfwLt1/t1AZw==" spinCount="100000" sheet="1" objects="1" scenarios="1" selectLockedCells="1"/>
  <dataConsolidate/>
  <mergeCells count="29">
    <mergeCell ref="B19:T19"/>
    <mergeCell ref="G2:L2"/>
    <mergeCell ref="B49:S49"/>
    <mergeCell ref="E41:I41"/>
    <mergeCell ref="B5:S5"/>
    <mergeCell ref="E18:I18"/>
    <mergeCell ref="E21:I21"/>
    <mergeCell ref="E25:I25"/>
    <mergeCell ref="E26:I26"/>
    <mergeCell ref="B45:S45"/>
    <mergeCell ref="B46:S46"/>
    <mergeCell ref="B47:S47"/>
    <mergeCell ref="B48:S48"/>
    <mergeCell ref="E23:I23"/>
    <mergeCell ref="E24:I24"/>
    <mergeCell ref="E28:I28"/>
    <mergeCell ref="B51:C51"/>
    <mergeCell ref="D51:G51"/>
    <mergeCell ref="H51:O51"/>
    <mergeCell ref="P51:S51"/>
    <mergeCell ref="B50:S50"/>
    <mergeCell ref="B52:C52"/>
    <mergeCell ref="D52:G52"/>
    <mergeCell ref="H52:O52"/>
    <mergeCell ref="P52:S52"/>
    <mergeCell ref="B53:C53"/>
    <mergeCell ref="D53:G53"/>
    <mergeCell ref="H53:O53"/>
    <mergeCell ref="P53:S53"/>
  </mergeCells>
  <conditionalFormatting sqref="R18 R15 R10 N31:S31 O37:S37 R6 R21:R24 R27:R29 O27 T40:V40 U10:U17 U19:U39 O29 T18:V18">
    <cfRule type="expression" dxfId="485" priority="163">
      <formula>CELL("Schutz",N6)=0</formula>
    </cfRule>
  </conditionalFormatting>
  <conditionalFormatting sqref="N38:S40 O41 Q41:S41 O30:Q30">
    <cfRule type="expression" dxfId="484" priority="162">
      <formula>CELL("Schutz",N30)=0</formula>
    </cfRule>
  </conditionalFormatting>
  <conditionalFormatting sqref="A15:K15 Q15 O15 M15 S27:S29 M27:M29 L29 N29 Q27:Q29 P29 L10:L18 L20:L26 T41:V41">
    <cfRule type="expression" dxfId="483" priority="161">
      <formula>CELL("Schutz",A10)=0</formula>
    </cfRule>
  </conditionalFormatting>
  <conditionalFormatting sqref="T10 Y10:XFD10 V10:W10">
    <cfRule type="expression" dxfId="482" priority="160">
      <formula>CELL("Schutz",T10)=0</formula>
    </cfRule>
  </conditionalFormatting>
  <conditionalFormatting sqref="T7 D7:K7 W7:XFD7">
    <cfRule type="expression" dxfId="481" priority="155">
      <formula>CELL("Schutz",D7)=0</formula>
    </cfRule>
  </conditionalFormatting>
  <conditionalFormatting sqref="R7">
    <cfRule type="expression" dxfId="480" priority="152">
      <formula>CELL("Schutz",R7)=0</formula>
    </cfRule>
  </conditionalFormatting>
  <conditionalFormatting sqref="S7 L7:M7 P7:Q7">
    <cfRule type="expression" dxfId="479" priority="153">
      <formula>CELL("Schutz",L7)=0</formula>
    </cfRule>
  </conditionalFormatting>
  <conditionalFormatting sqref="T25:T26 Y25:XFD26 V25:W26">
    <cfRule type="expression" dxfId="478" priority="150">
      <formula>CELL("Schutz",T25)=0</formula>
    </cfRule>
  </conditionalFormatting>
  <conditionalFormatting sqref="S25:S26 A25:D26 J25:K26 Q25:Q26">
    <cfRule type="expression" dxfId="477" priority="149">
      <formula>CELL("Schutz",A25)=0</formula>
    </cfRule>
  </conditionalFormatting>
  <conditionalFormatting sqref="R25:R26">
    <cfRule type="expression" dxfId="476" priority="148">
      <formula>CELL("Schutz",R25)=0</formula>
    </cfRule>
  </conditionalFormatting>
  <conditionalFormatting sqref="M21 O21">
    <cfRule type="expression" dxfId="475" priority="147">
      <formula>CELL("Schutz",M21)=0</formula>
    </cfRule>
  </conditionalFormatting>
  <conditionalFormatting sqref="M25:M26">
    <cfRule type="expression" dxfId="474" priority="145">
      <formula>CELL("Schutz",M25)=0</formula>
    </cfRule>
  </conditionalFormatting>
  <conditionalFormatting sqref="W17 M16 AA16:XFD16 A16 J16:K16 Y17:XFD17 Q16 S16:T17 O16 C16:D16 V16 Y20:XFD20 S20:T20 W20">
    <cfRule type="expression" dxfId="473" priority="135">
      <formula>CELL("Schutz",A16)=0</formula>
    </cfRule>
  </conditionalFormatting>
  <conditionalFormatting sqref="R16:R17 R20">
    <cfRule type="expression" dxfId="472" priority="134">
      <formula>CELL("Schutz",R16)=0</formula>
    </cfRule>
  </conditionalFormatting>
  <conditionalFormatting sqref="A17:K17 Q17 O17 M17 M20 O20 Q20 A20:K20">
    <cfRule type="expression" dxfId="471" priority="133">
      <formula>CELL("Schutz",A17)=0</formula>
    </cfRule>
  </conditionalFormatting>
  <conditionalFormatting sqref="A19 V19:XFD19">
    <cfRule type="expression" dxfId="470" priority="127">
      <formula>CELL("Schutz",A19)=0</formula>
    </cfRule>
  </conditionalFormatting>
  <conditionalFormatting sqref="L27">
    <cfRule type="expression" dxfId="469" priority="124">
      <formula>CELL("Schutz",L27)=0</formula>
    </cfRule>
  </conditionalFormatting>
  <conditionalFormatting sqref="B5:S5">
    <cfRule type="expression" dxfId="468" priority="123">
      <formula>CELL("Schutz",B5)=0</formula>
    </cfRule>
  </conditionalFormatting>
  <conditionalFormatting sqref="G4">
    <cfRule type="expression" dxfId="467" priority="116">
      <formula>CELL("Schutz",G4)=0</formula>
    </cfRule>
  </conditionalFormatting>
  <conditionalFormatting sqref="N27">
    <cfRule type="expression" dxfId="466" priority="106">
      <formula>CELL("Schutz",N27)=0</formula>
    </cfRule>
  </conditionalFormatting>
  <conditionalFormatting sqref="P27">
    <cfRule type="expression" dxfId="465" priority="103">
      <formula>CELL("Schutz",P27)=0</formula>
    </cfRule>
  </conditionalFormatting>
  <conditionalFormatting sqref="T35:T36 A35:D36 F35:K35 M35:M36 V35:XFD36">
    <cfRule type="expression" dxfId="464" priority="101">
      <formula>CELL("Schutz",A35)=0</formula>
    </cfRule>
  </conditionalFormatting>
  <conditionalFormatting sqref="O35:S36">
    <cfRule type="expression" dxfId="463" priority="100">
      <formula>CELL("Schutz",O35)=0</formula>
    </cfRule>
  </conditionalFormatting>
  <conditionalFormatting sqref="T32:T34 A32:D34 F32:K34 M32:M34 V32:XFD34">
    <cfRule type="expression" dxfId="462" priority="99">
      <formula>CELL("Schutz",A32)=0</formula>
    </cfRule>
  </conditionalFormatting>
  <conditionalFormatting sqref="O32:S34">
    <cfRule type="expression" dxfId="461" priority="98">
      <formula>CELL("Schutz",O32)=0</formula>
    </cfRule>
  </conditionalFormatting>
  <conditionalFormatting sqref="E32:E37">
    <cfRule type="expression" dxfId="460" priority="94">
      <formula>CELL("Schutz",E32)=0</formula>
    </cfRule>
  </conditionalFormatting>
  <conditionalFormatting sqref="R30">
    <cfRule type="expression" dxfId="459" priority="87">
      <formula>CELL("Schutz",R30)=0</formula>
    </cfRule>
  </conditionalFormatting>
  <conditionalFormatting sqref="T11:T12 Y11:XFD12 S11:S14 Q11:Q14 F11:K12 M11:M12 A11:B12 D11:D12 V11:W12">
    <cfRule type="expression" dxfId="458" priority="115">
      <formula>CELL("Schutz",#REF!)=0</formula>
    </cfRule>
  </conditionalFormatting>
  <conditionalFormatting sqref="R11:R14">
    <cfRule type="expression" dxfId="457" priority="114">
      <formula>CELL("Schutz",#REF!)=0</formula>
    </cfRule>
  </conditionalFormatting>
  <conditionalFormatting sqref="T13:T14 A13:D14 M13:M14 Y13:XFD14 F13:K14 V13:W14">
    <cfRule type="expression" dxfId="456" priority="165">
      <formula>CELL("Schutz",#REF!)=0</formula>
    </cfRule>
  </conditionalFormatting>
  <conditionalFormatting sqref="Q25:S25">
    <cfRule type="expression" dxfId="455" priority="31">
      <formula>$N$25=0</formula>
    </cfRule>
  </conditionalFormatting>
  <conditionalFormatting sqref="Q26:S26">
    <cfRule type="expression" dxfId="454" priority="30">
      <formula>$N$26=0</formula>
    </cfRule>
  </conditionalFormatting>
  <conditionalFormatting sqref="C11:C12">
    <cfRule type="expression" dxfId="453" priority="23">
      <formula>CELL("Schutz",#REF!)=0</formula>
    </cfRule>
  </conditionalFormatting>
  <conditionalFormatting sqref="N7">
    <cfRule type="expression" dxfId="452" priority="22">
      <formula>CELL("Schutz",N7)=0</formula>
    </cfRule>
  </conditionalFormatting>
  <conditionalFormatting sqref="U7:V7">
    <cfRule type="expression" dxfId="451" priority="21">
      <formula>CELL("Schutz",U7)=0</formula>
    </cfRule>
  </conditionalFormatting>
  <conditionalFormatting sqref="L23:N23 P23:S23">
    <cfRule type="expression" dxfId="450" priority="17">
      <formula>$E$23="---"</formula>
    </cfRule>
  </conditionalFormatting>
  <conditionalFormatting sqref="L24:N24 P24:S24">
    <cfRule type="expression" dxfId="449" priority="16">
      <formula>$E$24="---"</formula>
    </cfRule>
  </conditionalFormatting>
  <conditionalFormatting sqref="L26:N26 P26:S26">
    <cfRule type="expression" dxfId="448" priority="13">
      <formula>$E$26="---"</formula>
    </cfRule>
  </conditionalFormatting>
  <conditionalFormatting sqref="B16">
    <cfRule type="expression" dxfId="447" priority="12">
      <formula>CELL("Schutz",B16)=0</formula>
    </cfRule>
  </conditionalFormatting>
  <conditionalFormatting sqref="L28">
    <cfRule type="expression" dxfId="446" priority="11">
      <formula>CELL("Schutz",L28)=0</formula>
    </cfRule>
  </conditionalFormatting>
  <conditionalFormatting sqref="L28">
    <cfRule type="expression" dxfId="445" priority="10">
      <formula>$E$23="---"</formula>
    </cfRule>
  </conditionalFormatting>
  <conditionalFormatting sqref="L25:N25 P25:S25">
    <cfRule type="expression" dxfId="444" priority="973">
      <formula>$E$25="---"</formula>
    </cfRule>
    <cfRule type="expression" priority="974">
      <formula>$E$36="---"</formula>
    </cfRule>
  </conditionalFormatting>
  <conditionalFormatting sqref="B19">
    <cfRule type="expression" dxfId="443" priority="9">
      <formula>CELL("Schutz",B19)=0</formula>
    </cfRule>
  </conditionalFormatting>
  <conditionalFormatting sqref="L32:L37">
    <cfRule type="expression" dxfId="442" priority="8">
      <formula>CELL("Schutz",L32)=0</formula>
    </cfRule>
  </conditionalFormatting>
  <conditionalFormatting sqref="R55">
    <cfRule type="expression" dxfId="441" priority="7">
      <formula>CELL("Schutz",R55)=0</formula>
    </cfRule>
  </conditionalFormatting>
  <conditionalFormatting sqref="L41">
    <cfRule type="expression" dxfId="440" priority="6">
      <formula>CELL("Schutz",L41)=0</formula>
    </cfRule>
  </conditionalFormatting>
  <conditionalFormatting sqref="L41">
    <cfRule type="expression" dxfId="439" priority="5">
      <formula>$E$23="---"</formula>
    </cfRule>
  </conditionalFormatting>
  <conditionalFormatting sqref="O7">
    <cfRule type="expression" dxfId="438" priority="1">
      <formula>CELL("Schutz",O7)=0</formula>
    </cfRule>
  </conditionalFormatting>
  <dataValidations count="2">
    <dataValidation type="list" allowBlank="1" showInputMessage="1" showErrorMessage="1" sqref="M18">
      <formula1>$B$5:$B$19</formula1>
    </dataValidation>
    <dataValidation allowBlank="1" showInputMessage="1" showErrorMessage="1" sqref="N9"/>
  </dataValidations>
  <hyperlinks>
    <hyperlink ref="B2" location="Übersicht!A1" display="Home"/>
  </hyperlinks>
  <pageMargins left="0.11811023622047244" right="0.11811023622047244" top="0.74803149606299213" bottom="0.19685039370078741" header="0.31496062992125984" footer="0.31496062992125984"/>
  <pageSetup paperSize="9" scale="44" fitToHeight="0" orientation="portrait" horizontalDpi="4294967294" r:id="rId1"/>
  <headerFooter>
    <oddHeader>&amp;C&amp;14&amp;F</oddHeader>
  </headerFooter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35346A2F-1056-4CD9-AD4B-F3213D8ED995}">
            <xm:f>CELL("Schutz",TL³!R9)=0</xm:f>
            <x14:dxf>
              <font>
                <color auto="1"/>
              </font>
              <fill>
                <patternFill>
                  <bgColor theme="0" tint="-4.9989318521683403E-2"/>
                </patternFill>
              </fill>
            </x14:dxf>
          </x14:cfRule>
          <xm:sqref>R9</xm:sqref>
        </x14:conditionalFormatting>
        <x14:conditionalFormatting xmlns:xm="http://schemas.microsoft.com/office/excel/2006/main">
          <x14:cfRule type="expression" priority="2" id="{0773915B-719B-482B-969B-DD239EDD80B6}">
            <xm:f>CELL("Schutz",TL³!A9)=0</xm:f>
            <x14:dxf>
              <fill>
                <patternFill>
                  <bgColor theme="0" tint="-4.9989318521683403E-2"/>
                </patternFill>
              </fill>
            </x14:dxf>
          </x14:cfRule>
          <xm:sqref>A9:O9 S9:V9 Q9</xm:sqref>
        </x14:conditionalFormatting>
        <x14:conditionalFormatting xmlns:xm="http://schemas.microsoft.com/office/excel/2006/main">
          <x14:cfRule type="expression" priority="1008" id="{0773915B-719B-482B-969B-DD239EDD80B6}">
            <xm:f>CELL("Schutz",TL³!U9)=0</xm:f>
            <x14:dxf>
              <fill>
                <patternFill>
                  <bgColor theme="0" tint="-4.9989318521683403E-2"/>
                </patternFill>
              </fill>
            </x14:dxf>
          </x14:cfRule>
          <xm:sqref>W9:XFD9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'EBM00241'!$C$5:$C$16</xm:f>
          </x14:formula1>
          <xm:sqref>E18:I18</xm:sqref>
        </x14:dataValidation>
        <x14:dataValidation type="list" allowBlank="1" showInputMessage="1" showErrorMessage="1">
          <x14:formula1>
            <xm:f>'EBM00241'!$C$31:$C$34</xm:f>
          </x14:formula1>
          <xm:sqref>E21:I21</xm:sqref>
        </x14:dataValidation>
        <x14:dataValidation type="list" allowBlank="1" showInputMessage="1" showErrorMessage="1">
          <x14:formula1>
            <xm:f>'EBM00241'!$C$47:$C$48</xm:f>
          </x14:formula1>
          <xm:sqref>E28:I28</xm:sqref>
        </x14:dataValidation>
        <x14:dataValidation type="list" allowBlank="1" showInputMessage="1" showErrorMessage="1">
          <x14:formula1>
            <xm:f>'EBM00241'!C51:C59</xm:f>
          </x14:formula1>
          <xm:sqref>E41:I41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Q30"/>
  <sheetViews>
    <sheetView view="pageBreakPreview" zoomScale="85" zoomScaleNormal="100" zoomScaleSheetLayoutView="85" workbookViewId="0">
      <pane xSplit="1" ySplit="5" topLeftCell="B6" activePane="bottomRight" state="frozen"/>
      <selection sqref="A1:AA1"/>
      <selection pane="topRight" sqref="A1:AA1"/>
      <selection pane="bottomLeft" sqref="A1:AA1"/>
      <selection pane="bottomRight" activeCell="G2" sqref="G2:K2"/>
    </sheetView>
  </sheetViews>
  <sheetFormatPr baseColWidth="10" defaultColWidth="11.42578125" defaultRowHeight="15" x14ac:dyDescent="0.25"/>
  <cols>
    <col min="1" max="1" width="10.7109375" style="19" customWidth="1"/>
    <col min="2" max="2" width="25.140625" style="19" customWidth="1"/>
    <col min="3" max="3" width="9.28515625" style="19" customWidth="1"/>
    <col min="4" max="4" width="1.7109375" style="19" customWidth="1"/>
    <col min="5" max="8" width="11" style="19" customWidth="1"/>
    <col min="9" max="9" width="19.85546875" style="19" customWidth="1"/>
    <col min="10" max="10" width="0.28515625" style="19" customWidth="1"/>
    <col min="11" max="11" width="20.5703125" style="23" bestFit="1" customWidth="1"/>
    <col min="12" max="12" width="10.5703125" style="19" bestFit="1" customWidth="1"/>
    <col min="13" max="13" width="21.42578125" style="19" bestFit="1" customWidth="1"/>
    <col min="14" max="14" width="1.7109375" style="19" customWidth="1"/>
    <col min="15" max="15" width="20" style="3" customWidth="1"/>
    <col min="16" max="16" width="3.5703125" style="3" customWidth="1"/>
    <col min="17" max="17" width="33.42578125" style="3" customWidth="1"/>
    <col min="18" max="18" width="14.85546875" style="19" bestFit="1" customWidth="1"/>
    <col min="19" max="19" width="16.5703125" style="19" bestFit="1" customWidth="1"/>
    <col min="20" max="16384" width="11.42578125" style="19"/>
  </cols>
  <sheetData>
    <row r="1" spans="2:17" ht="20.25" customHeight="1" x14ac:dyDescent="0.25">
      <c r="B1" s="17"/>
      <c r="C1" s="17"/>
      <c r="D1" s="17"/>
      <c r="E1" s="17"/>
      <c r="F1" s="17"/>
      <c r="G1" s="17"/>
      <c r="H1" s="17"/>
      <c r="I1" s="17"/>
      <c r="J1" s="17"/>
      <c r="K1" s="27"/>
      <c r="L1" s="17"/>
      <c r="M1" s="17"/>
      <c r="N1" s="17"/>
      <c r="O1" s="17"/>
      <c r="P1" s="17"/>
      <c r="Q1" s="17"/>
    </row>
    <row r="2" spans="2:17" ht="20.25" customHeight="1" x14ac:dyDescent="0.25">
      <c r="B2" s="39" t="s">
        <v>193</v>
      </c>
      <c r="C2" s="17"/>
      <c r="D2" s="17"/>
      <c r="E2" s="112" t="s">
        <v>316</v>
      </c>
      <c r="F2" s="17"/>
      <c r="G2" s="387"/>
      <c r="H2" s="388"/>
      <c r="I2" s="388"/>
      <c r="J2" s="388"/>
      <c r="K2" s="389"/>
      <c r="L2" s="15"/>
      <c r="N2" s="17"/>
      <c r="O2" s="17"/>
      <c r="P2" s="17"/>
    </row>
    <row r="3" spans="2:17" ht="20.25" customHeight="1" x14ac:dyDescent="0.25">
      <c r="B3" s="17"/>
      <c r="C3" s="17"/>
      <c r="D3" s="17"/>
      <c r="E3" s="17"/>
      <c r="F3" s="17"/>
      <c r="G3" s="17"/>
      <c r="H3" s="17"/>
      <c r="I3" s="20"/>
      <c r="J3" s="17"/>
      <c r="L3" s="17"/>
      <c r="M3" s="16" t="s">
        <v>224</v>
      </c>
      <c r="N3" s="17"/>
      <c r="P3" s="17"/>
      <c r="Q3" s="17"/>
    </row>
    <row r="4" spans="2:17" s="20" customFormat="1" ht="25.5" x14ac:dyDescent="0.25">
      <c r="B4" s="42" t="s">
        <v>29</v>
      </c>
      <c r="E4" s="22"/>
      <c r="G4" s="15"/>
      <c r="K4" s="53">
        <v>1</v>
      </c>
      <c r="L4" s="21" t="s">
        <v>222</v>
      </c>
      <c r="M4" s="75">
        <v>1.1418999999999999</v>
      </c>
      <c r="N4" s="15"/>
      <c r="O4" s="73" t="s">
        <v>742</v>
      </c>
      <c r="P4" s="15"/>
      <c r="Q4" s="15"/>
    </row>
    <row r="5" spans="2:17" x14ac:dyDescent="0.25">
      <c r="B5" s="394" t="s">
        <v>66</v>
      </c>
      <c r="C5" s="395"/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</row>
    <row r="6" spans="2:17" ht="18.75" customHeight="1" x14ac:dyDescent="0.25">
      <c r="B6" s="3"/>
      <c r="C6" s="3"/>
      <c r="D6" s="3"/>
      <c r="E6" s="3"/>
      <c r="F6" s="3"/>
      <c r="G6" s="3"/>
      <c r="H6" s="3"/>
      <c r="I6" s="3"/>
      <c r="J6" s="3"/>
      <c r="K6" s="41"/>
      <c r="L6" s="3"/>
      <c r="M6" s="3"/>
      <c r="N6" s="3"/>
      <c r="O6" s="4"/>
      <c r="P6" s="4"/>
      <c r="Q6" s="6"/>
    </row>
    <row r="7" spans="2:17" ht="20.25" x14ac:dyDescent="0.25">
      <c r="B7" s="71" t="s">
        <v>218</v>
      </c>
      <c r="C7" s="71"/>
      <c r="D7" s="71"/>
      <c r="E7" s="71"/>
      <c r="F7" s="71" t="s">
        <v>219</v>
      </c>
      <c r="G7" s="71"/>
      <c r="H7" s="71"/>
      <c r="I7" s="71" t="s">
        <v>220</v>
      </c>
      <c r="J7" s="72"/>
      <c r="K7" s="71" t="s">
        <v>221</v>
      </c>
      <c r="L7" s="25"/>
      <c r="M7" s="71" t="s">
        <v>4</v>
      </c>
      <c r="N7" s="52"/>
      <c r="O7" s="52" t="s">
        <v>223</v>
      </c>
      <c r="P7" s="1"/>
      <c r="Q7" s="71" t="s">
        <v>208</v>
      </c>
    </row>
    <row r="8" spans="2:17" s="136" customFormat="1" ht="15" customHeight="1" x14ac:dyDescent="0.25">
      <c r="B8" s="57"/>
      <c r="C8" s="406" t="str">
        <f>IFERROR(IF(B8="","",VLOOKUP(B8,#REF!,2,FALSE)),"")</f>
        <v/>
      </c>
      <c r="D8" s="407"/>
      <c r="E8" s="407"/>
      <c r="F8" s="407"/>
      <c r="G8" s="407"/>
      <c r="H8" s="408"/>
      <c r="I8" s="58">
        <f>IFERROR(VLOOKUP(B8,#REF!,6,FALSE),)</f>
        <v>0</v>
      </c>
      <c r="J8" s="131"/>
      <c r="K8" s="55"/>
      <c r="L8" s="131"/>
      <c r="M8" s="54"/>
      <c r="N8" s="131"/>
      <c r="O8" s="59">
        <f t="shared" ref="O8:O21" si="0">I8/(1-Q8)</f>
        <v>0</v>
      </c>
      <c r="P8" s="4"/>
      <c r="Q8" s="56">
        <f t="shared" ref="Q8:Q21" si="1">IF(I8=0,0,1-I8/O8)</f>
        <v>0</v>
      </c>
    </row>
    <row r="9" spans="2:17" s="136" customFormat="1" ht="15" customHeight="1" x14ac:dyDescent="0.25">
      <c r="B9" s="57" t="s">
        <v>178</v>
      </c>
      <c r="C9" s="406" t="str">
        <f>IFERROR(IF(B9="","",VLOOKUP(B9,#REF!,2,FALSE)),"")</f>
        <v/>
      </c>
      <c r="D9" s="407"/>
      <c r="E9" s="407"/>
      <c r="F9" s="407"/>
      <c r="G9" s="407"/>
      <c r="H9" s="408"/>
      <c r="I9" s="58">
        <f>IFERROR(VLOOKUP(B9,#REF!,6,FALSE),)</f>
        <v>0</v>
      </c>
      <c r="J9" s="131"/>
      <c r="K9" s="55"/>
      <c r="L9" s="131"/>
      <c r="M9" s="54"/>
      <c r="N9" s="131"/>
      <c r="O9" s="59">
        <f t="shared" si="0"/>
        <v>0</v>
      </c>
      <c r="P9" s="4"/>
      <c r="Q9" s="56">
        <f t="shared" si="1"/>
        <v>0</v>
      </c>
    </row>
    <row r="10" spans="2:17" s="136" customFormat="1" ht="15" customHeight="1" x14ac:dyDescent="0.25">
      <c r="B10" s="57" t="s">
        <v>178</v>
      </c>
      <c r="C10" s="406" t="str">
        <f>IFERROR(IF(B10="","",VLOOKUP(B10,#REF!,2,FALSE)),"")</f>
        <v/>
      </c>
      <c r="D10" s="407"/>
      <c r="E10" s="407"/>
      <c r="F10" s="407"/>
      <c r="G10" s="407"/>
      <c r="H10" s="408"/>
      <c r="I10" s="58">
        <f>IFERROR(VLOOKUP(B10,#REF!,6,FALSE),)</f>
        <v>0</v>
      </c>
      <c r="J10" s="131"/>
      <c r="K10" s="55"/>
      <c r="L10" s="131"/>
      <c r="M10" s="54"/>
      <c r="N10" s="131"/>
      <c r="O10" s="59">
        <f t="shared" si="0"/>
        <v>0</v>
      </c>
      <c r="P10" s="4"/>
      <c r="Q10" s="56">
        <f t="shared" si="1"/>
        <v>0</v>
      </c>
    </row>
    <row r="11" spans="2:17" s="136" customFormat="1" ht="15" customHeight="1" x14ac:dyDescent="0.25">
      <c r="B11" s="57" t="s">
        <v>178</v>
      </c>
      <c r="C11" s="406" t="str">
        <f>IFERROR(IF(B11="","",VLOOKUP(B11,#REF!,2,FALSE)),"")</f>
        <v/>
      </c>
      <c r="D11" s="407"/>
      <c r="E11" s="407"/>
      <c r="F11" s="407"/>
      <c r="G11" s="407"/>
      <c r="H11" s="408"/>
      <c r="I11" s="58">
        <f>IFERROR(VLOOKUP(B11,#REF!,6,FALSE),)</f>
        <v>0</v>
      </c>
      <c r="J11" s="131"/>
      <c r="K11" s="55"/>
      <c r="L11" s="131"/>
      <c r="M11" s="54"/>
      <c r="N11" s="131"/>
      <c r="O11" s="59">
        <f t="shared" si="0"/>
        <v>0</v>
      </c>
      <c r="P11" s="4"/>
      <c r="Q11" s="56">
        <f t="shared" si="1"/>
        <v>0</v>
      </c>
    </row>
    <row r="12" spans="2:17" s="136" customFormat="1" ht="15" customHeight="1" x14ac:dyDescent="0.25">
      <c r="B12" s="57" t="s">
        <v>178</v>
      </c>
      <c r="C12" s="406" t="str">
        <f>IFERROR(IF(B12="","",VLOOKUP(B12,#REF!,2,FALSE)),"")</f>
        <v/>
      </c>
      <c r="D12" s="407"/>
      <c r="E12" s="407"/>
      <c r="F12" s="407"/>
      <c r="G12" s="407"/>
      <c r="H12" s="408"/>
      <c r="I12" s="58">
        <f>IFERROR(VLOOKUP(B12,#REF!,6,FALSE),)</f>
        <v>0</v>
      </c>
      <c r="J12" s="131"/>
      <c r="K12" s="55"/>
      <c r="L12" s="131"/>
      <c r="M12" s="54"/>
      <c r="N12" s="131"/>
      <c r="O12" s="59">
        <f t="shared" si="0"/>
        <v>0</v>
      </c>
      <c r="P12" s="4"/>
      <c r="Q12" s="56">
        <f t="shared" si="1"/>
        <v>0</v>
      </c>
    </row>
    <row r="13" spans="2:17" s="136" customFormat="1" ht="15" customHeight="1" x14ac:dyDescent="0.25">
      <c r="B13" s="57" t="s">
        <v>178</v>
      </c>
      <c r="C13" s="406" t="str">
        <f>IFERROR(IF(B13="","",VLOOKUP(B13,#REF!,2,FALSE)),"")</f>
        <v/>
      </c>
      <c r="D13" s="407"/>
      <c r="E13" s="407"/>
      <c r="F13" s="407"/>
      <c r="G13" s="407"/>
      <c r="H13" s="408"/>
      <c r="I13" s="58">
        <f>IFERROR(VLOOKUP(B13,#REF!,6,FALSE),)</f>
        <v>0</v>
      </c>
      <c r="J13" s="131"/>
      <c r="K13" s="55"/>
      <c r="L13" s="131"/>
      <c r="M13" s="54"/>
      <c r="N13" s="131"/>
      <c r="O13" s="59">
        <f t="shared" si="0"/>
        <v>0</v>
      </c>
      <c r="P13" s="4"/>
      <c r="Q13" s="56">
        <f t="shared" si="1"/>
        <v>0</v>
      </c>
    </row>
    <row r="14" spans="2:17" s="136" customFormat="1" ht="15" customHeight="1" x14ac:dyDescent="0.25">
      <c r="B14" s="57" t="s">
        <v>178</v>
      </c>
      <c r="C14" s="406" t="str">
        <f>IFERROR(IF(B14="","",VLOOKUP(B14,#REF!,2,FALSE)),"")</f>
        <v/>
      </c>
      <c r="D14" s="407"/>
      <c r="E14" s="407"/>
      <c r="F14" s="407"/>
      <c r="G14" s="407"/>
      <c r="H14" s="408"/>
      <c r="I14" s="58">
        <f>IFERROR(VLOOKUP(B14,#REF!,6,FALSE),)</f>
        <v>0</v>
      </c>
      <c r="J14" s="131"/>
      <c r="K14" s="55"/>
      <c r="L14" s="131"/>
      <c r="M14" s="54"/>
      <c r="N14" s="131"/>
      <c r="O14" s="59">
        <f t="shared" si="0"/>
        <v>0</v>
      </c>
      <c r="P14" s="4"/>
      <c r="Q14" s="56">
        <f t="shared" si="1"/>
        <v>0</v>
      </c>
    </row>
    <row r="15" spans="2:17" s="136" customFormat="1" ht="15" customHeight="1" x14ac:dyDescent="0.25">
      <c r="B15" s="57" t="s">
        <v>178</v>
      </c>
      <c r="C15" s="406" t="str">
        <f>IFERROR(IF(B15="","",VLOOKUP(B15,#REF!,2,FALSE)),"")</f>
        <v/>
      </c>
      <c r="D15" s="407"/>
      <c r="E15" s="407"/>
      <c r="F15" s="407"/>
      <c r="G15" s="407"/>
      <c r="H15" s="408"/>
      <c r="I15" s="58">
        <f>IFERROR(VLOOKUP(B15,#REF!,6,FALSE),)</f>
        <v>0</v>
      </c>
      <c r="J15" s="131"/>
      <c r="K15" s="55"/>
      <c r="L15" s="131"/>
      <c r="M15" s="54"/>
      <c r="N15" s="131"/>
      <c r="O15" s="59">
        <f t="shared" ref="O15:O19" si="2">I15/(1-Q15)</f>
        <v>0</v>
      </c>
      <c r="P15" s="4"/>
      <c r="Q15" s="56">
        <f t="shared" ref="Q15:Q19" si="3">IF(I15=0,0,1-I15/O15)</f>
        <v>0</v>
      </c>
    </row>
    <row r="16" spans="2:17" s="136" customFormat="1" ht="15" customHeight="1" x14ac:dyDescent="0.25">
      <c r="B16" s="57" t="s">
        <v>178</v>
      </c>
      <c r="C16" s="406" t="str">
        <f>IFERROR(IF(B16="","",VLOOKUP(B16,#REF!,2,FALSE)),"")</f>
        <v/>
      </c>
      <c r="D16" s="407"/>
      <c r="E16" s="407"/>
      <c r="F16" s="407"/>
      <c r="G16" s="407"/>
      <c r="H16" s="408"/>
      <c r="I16" s="58">
        <f>IFERROR(VLOOKUP(B16,#REF!,6,FALSE),)</f>
        <v>0</v>
      </c>
      <c r="J16" s="131"/>
      <c r="K16" s="55"/>
      <c r="L16" s="131"/>
      <c r="M16" s="54"/>
      <c r="N16" s="131"/>
      <c r="O16" s="59">
        <f t="shared" si="2"/>
        <v>0</v>
      </c>
      <c r="P16" s="4"/>
      <c r="Q16" s="56">
        <f t="shared" si="3"/>
        <v>0</v>
      </c>
    </row>
    <row r="17" spans="2:17" s="136" customFormat="1" ht="15" customHeight="1" x14ac:dyDescent="0.25">
      <c r="B17" s="57" t="s">
        <v>178</v>
      </c>
      <c r="C17" s="406" t="str">
        <f>IFERROR(IF(B17="","",VLOOKUP(B17,#REF!,2,FALSE)),"")</f>
        <v/>
      </c>
      <c r="D17" s="407"/>
      <c r="E17" s="407"/>
      <c r="F17" s="407"/>
      <c r="G17" s="407"/>
      <c r="H17" s="408"/>
      <c r="I17" s="58">
        <f>IFERROR(VLOOKUP(B17,#REF!,6,FALSE),)</f>
        <v>0</v>
      </c>
      <c r="J17" s="131"/>
      <c r="K17" s="55"/>
      <c r="L17" s="131"/>
      <c r="M17" s="54"/>
      <c r="N17" s="131"/>
      <c r="O17" s="59">
        <f t="shared" si="2"/>
        <v>0</v>
      </c>
      <c r="P17" s="4"/>
      <c r="Q17" s="56">
        <f t="shared" si="3"/>
        <v>0</v>
      </c>
    </row>
    <row r="18" spans="2:17" s="136" customFormat="1" ht="15" customHeight="1" x14ac:dyDescent="0.25">
      <c r="B18" s="57" t="s">
        <v>178</v>
      </c>
      <c r="C18" s="406" t="str">
        <f>IFERROR(IF(B18="","",VLOOKUP(B18,#REF!,2,FALSE)),"")</f>
        <v/>
      </c>
      <c r="D18" s="407"/>
      <c r="E18" s="407"/>
      <c r="F18" s="407"/>
      <c r="G18" s="407"/>
      <c r="H18" s="408"/>
      <c r="I18" s="58">
        <f>IFERROR(VLOOKUP(B18,#REF!,6,FALSE),)</f>
        <v>0</v>
      </c>
      <c r="J18" s="131"/>
      <c r="K18" s="55"/>
      <c r="L18" s="131"/>
      <c r="M18" s="54"/>
      <c r="N18" s="131"/>
      <c r="O18" s="59">
        <f t="shared" si="2"/>
        <v>0</v>
      </c>
      <c r="P18" s="4"/>
      <c r="Q18" s="56">
        <f t="shared" si="3"/>
        <v>0</v>
      </c>
    </row>
    <row r="19" spans="2:17" s="136" customFormat="1" ht="15" customHeight="1" x14ac:dyDescent="0.25">
      <c r="B19" s="57" t="s">
        <v>178</v>
      </c>
      <c r="C19" s="406" t="str">
        <f>IFERROR(IF(B19="","",VLOOKUP(B19,#REF!,2,FALSE)),"")</f>
        <v/>
      </c>
      <c r="D19" s="407"/>
      <c r="E19" s="407"/>
      <c r="F19" s="407"/>
      <c r="G19" s="407"/>
      <c r="H19" s="408"/>
      <c r="I19" s="58">
        <f>IFERROR(VLOOKUP(B19,#REF!,6,FALSE),)</f>
        <v>0</v>
      </c>
      <c r="J19" s="131"/>
      <c r="K19" s="55"/>
      <c r="L19" s="131"/>
      <c r="M19" s="54"/>
      <c r="N19" s="131"/>
      <c r="O19" s="59">
        <f t="shared" si="2"/>
        <v>0</v>
      </c>
      <c r="P19" s="4"/>
      <c r="Q19" s="56">
        <f t="shared" si="3"/>
        <v>0</v>
      </c>
    </row>
    <row r="20" spans="2:17" s="136" customFormat="1" ht="15" customHeight="1" x14ac:dyDescent="0.25">
      <c r="B20" s="57" t="s">
        <v>178</v>
      </c>
      <c r="C20" s="406" t="str">
        <f>IFERROR(IF(B20="","",VLOOKUP(B20,#REF!,2,FALSE)),"")</f>
        <v/>
      </c>
      <c r="D20" s="407"/>
      <c r="E20" s="407"/>
      <c r="F20" s="407"/>
      <c r="G20" s="407"/>
      <c r="H20" s="408"/>
      <c r="I20" s="58">
        <f>IFERROR(VLOOKUP(B20,#REF!,6,FALSE),)</f>
        <v>0</v>
      </c>
      <c r="J20" s="131"/>
      <c r="K20" s="55"/>
      <c r="L20" s="131"/>
      <c r="M20" s="54"/>
      <c r="N20" s="131"/>
      <c r="O20" s="59">
        <f t="shared" si="0"/>
        <v>0</v>
      </c>
      <c r="P20" s="4"/>
      <c r="Q20" s="56">
        <f t="shared" si="1"/>
        <v>0</v>
      </c>
    </row>
    <row r="21" spans="2:17" ht="15" customHeight="1" x14ac:dyDescent="0.25">
      <c r="B21" s="57" t="s">
        <v>178</v>
      </c>
      <c r="C21" s="406" t="str">
        <f>IFERROR(IF(B21="","",VLOOKUP(B21,#REF!,2,FALSE)),"")</f>
        <v/>
      </c>
      <c r="D21" s="407"/>
      <c r="E21" s="407"/>
      <c r="F21" s="407"/>
      <c r="G21" s="407"/>
      <c r="H21" s="408"/>
      <c r="I21" s="58">
        <f>IFERROR(VLOOKUP(B21,#REF!,6,FALSE),)</f>
        <v>0</v>
      </c>
      <c r="J21" s="3"/>
      <c r="K21" s="55"/>
      <c r="L21" s="3"/>
      <c r="M21" s="54"/>
      <c r="N21" s="3"/>
      <c r="O21" s="59">
        <f t="shared" si="0"/>
        <v>0</v>
      </c>
      <c r="P21" s="4"/>
      <c r="Q21" s="56">
        <f t="shared" si="1"/>
        <v>0</v>
      </c>
    </row>
    <row r="22" spans="2:17" ht="15" customHeight="1" x14ac:dyDescent="0.25">
      <c r="B22" s="57" t="s">
        <v>178</v>
      </c>
      <c r="C22" s="406" t="str">
        <f>IFERROR(IF(B22="","",VLOOKUP(B22,#REF!,2,FALSE)),"")</f>
        <v/>
      </c>
      <c r="D22" s="407"/>
      <c r="E22" s="407"/>
      <c r="F22" s="407"/>
      <c r="G22" s="407"/>
      <c r="H22" s="408"/>
      <c r="I22" s="58">
        <f>IFERROR(VLOOKUP(B22,#REF!,6,FALSE),)</f>
        <v>0</v>
      </c>
      <c r="J22" s="3"/>
      <c r="K22" s="55"/>
      <c r="L22" s="3"/>
      <c r="M22" s="54"/>
      <c r="N22" s="3"/>
      <c r="O22" s="59">
        <f t="shared" ref="O22:O23" si="4">I22/(1-Q22)</f>
        <v>0</v>
      </c>
      <c r="P22" s="4"/>
      <c r="Q22" s="56">
        <f t="shared" ref="Q22:Q23" si="5">IF(I22=0,0,1-I22/O22)</f>
        <v>0</v>
      </c>
    </row>
    <row r="23" spans="2:17" ht="15" customHeight="1" x14ac:dyDescent="0.25">
      <c r="B23" s="57"/>
      <c r="C23" s="406" t="str">
        <f>IFERROR(IF(B23="","",VLOOKUP(B23,#REF!,2,FALSE)),"")</f>
        <v/>
      </c>
      <c r="D23" s="407"/>
      <c r="E23" s="407"/>
      <c r="F23" s="407"/>
      <c r="G23" s="407"/>
      <c r="H23" s="408"/>
      <c r="I23" s="58">
        <f>IFERROR(VLOOKUP(B23,#REF!,6,FALSE),)</f>
        <v>0</v>
      </c>
      <c r="J23" s="3"/>
      <c r="K23" s="55"/>
      <c r="L23" s="3"/>
      <c r="M23" s="54"/>
      <c r="N23" s="3"/>
      <c r="O23" s="59">
        <f t="shared" si="4"/>
        <v>0</v>
      </c>
      <c r="P23" s="4"/>
      <c r="Q23" s="56">
        <f t="shared" si="5"/>
        <v>0</v>
      </c>
    </row>
    <row r="24" spans="2:17" s="136" customFormat="1" ht="15" customHeight="1" x14ac:dyDescent="0.25">
      <c r="B24" s="183"/>
      <c r="C24" s="181"/>
      <c r="D24" s="181"/>
      <c r="E24" s="181"/>
      <c r="F24" s="181"/>
      <c r="G24" s="181"/>
      <c r="H24" s="181"/>
      <c r="I24" s="7"/>
      <c r="J24" s="131"/>
      <c r="K24" s="182"/>
      <c r="L24" s="131"/>
      <c r="M24" s="131"/>
      <c r="N24" s="131"/>
      <c r="O24" s="184"/>
      <c r="P24" s="4"/>
      <c r="Q24" s="185"/>
    </row>
    <row r="25" spans="2:17" ht="35.1" customHeight="1" x14ac:dyDescent="0.25">
      <c r="B25" s="382" t="s">
        <v>19</v>
      </c>
      <c r="C25" s="382"/>
      <c r="D25" s="383" t="s">
        <v>21</v>
      </c>
      <c r="E25" s="383"/>
      <c r="F25" s="383"/>
      <c r="G25" s="383"/>
      <c r="H25" s="384" t="s">
        <v>22</v>
      </c>
      <c r="I25" s="384"/>
      <c r="J25" s="384"/>
      <c r="K25" s="384"/>
      <c r="L25" s="384"/>
      <c r="M25" s="384"/>
      <c r="N25" s="384"/>
      <c r="O25" s="384" t="s">
        <v>23</v>
      </c>
      <c r="P25" s="384"/>
      <c r="Q25" s="384"/>
    </row>
    <row r="26" spans="2:17" ht="35.1" customHeight="1" x14ac:dyDescent="0.25">
      <c r="B26" s="378" t="s">
        <v>20</v>
      </c>
      <c r="C26" s="378"/>
      <c r="D26" s="410"/>
      <c r="E26" s="410"/>
      <c r="F26" s="410"/>
      <c r="G26" s="410"/>
      <c r="H26" s="411"/>
      <c r="I26" s="411"/>
      <c r="J26" s="411"/>
      <c r="K26" s="411"/>
      <c r="L26" s="411"/>
      <c r="M26" s="411"/>
      <c r="N26" s="411"/>
      <c r="O26" s="409"/>
      <c r="P26" s="409"/>
      <c r="Q26" s="409"/>
    </row>
    <row r="27" spans="2:17" ht="35.1" customHeight="1" x14ac:dyDescent="0.25">
      <c r="B27" s="378" t="s">
        <v>34</v>
      </c>
      <c r="C27" s="378"/>
      <c r="D27" s="412"/>
      <c r="E27" s="412"/>
      <c r="F27" s="412"/>
      <c r="G27" s="412"/>
      <c r="H27" s="411"/>
      <c r="I27" s="411"/>
      <c r="J27" s="411"/>
      <c r="K27" s="411"/>
      <c r="L27" s="411"/>
      <c r="M27" s="411"/>
      <c r="N27" s="411"/>
      <c r="O27" s="409"/>
      <c r="P27" s="409"/>
      <c r="Q27" s="409"/>
    </row>
    <row r="29" spans="2:17" ht="55.5" customHeight="1" x14ac:dyDescent="0.25">
      <c r="B29" s="11" t="str">
        <f ca="1">MID(CELL("Dateiname",$A$1),FIND("]",CELL("Dateiname",$A$1))+1,31)</f>
        <v>Sonstiges</v>
      </c>
      <c r="D29" s="3"/>
      <c r="P29" s="18"/>
      <c r="Q29" s="40"/>
    </row>
    <row r="30" spans="2:17" ht="5.25" customHeight="1" x14ac:dyDescent="0.25"/>
  </sheetData>
  <sheetProtection selectLockedCells="1"/>
  <dataConsolidate/>
  <mergeCells count="30">
    <mergeCell ref="C23:H23"/>
    <mergeCell ref="C21:H21"/>
    <mergeCell ref="G2:K2"/>
    <mergeCell ref="B5:Q5"/>
    <mergeCell ref="O27:Q27"/>
    <mergeCell ref="B25:C25"/>
    <mergeCell ref="D25:G25"/>
    <mergeCell ref="H25:N25"/>
    <mergeCell ref="O25:Q25"/>
    <mergeCell ref="B26:C26"/>
    <mergeCell ref="D26:G26"/>
    <mergeCell ref="H26:N26"/>
    <mergeCell ref="O26:Q26"/>
    <mergeCell ref="B27:C27"/>
    <mergeCell ref="D27:G27"/>
    <mergeCell ref="H27:N27"/>
    <mergeCell ref="C22:H22"/>
    <mergeCell ref="C13:H13"/>
    <mergeCell ref="C14:H14"/>
    <mergeCell ref="C20:H20"/>
    <mergeCell ref="C8:H8"/>
    <mergeCell ref="C9:H9"/>
    <mergeCell ref="C10:H10"/>
    <mergeCell ref="C11:H11"/>
    <mergeCell ref="C12:H12"/>
    <mergeCell ref="C15:H15"/>
    <mergeCell ref="C16:H16"/>
    <mergeCell ref="C17:H17"/>
    <mergeCell ref="C18:H18"/>
    <mergeCell ref="C19:H19"/>
  </mergeCells>
  <conditionalFormatting sqref="B5:Q5">
    <cfRule type="expression" dxfId="434" priority="149">
      <formula>CELL("Schutz",B5)=0</formula>
    </cfRule>
  </conditionalFormatting>
  <conditionalFormatting sqref="G4">
    <cfRule type="expression" dxfId="433" priority="110">
      <formula>CELL("Schutz",G4)=0</formula>
    </cfRule>
  </conditionalFormatting>
  <conditionalFormatting sqref="J7">
    <cfRule type="expression" dxfId="432" priority="22">
      <formula>CELL("Schutz",J7)=0</formula>
    </cfRule>
  </conditionalFormatting>
  <conditionalFormatting sqref="L7 P7">
    <cfRule type="expression" dxfId="431" priority="21">
      <formula>CELL("Schutz",L7)=0</formula>
    </cfRule>
  </conditionalFormatting>
  <conditionalFormatting sqref="C22:Q24 C21:N21 C8:N9 I8:I14 O8:Q14 O20:Q21 I20:I24">
    <cfRule type="cellIs" dxfId="430" priority="19" operator="equal">
      <formula>0</formula>
    </cfRule>
  </conditionalFormatting>
  <conditionalFormatting sqref="B21:B24 B8:B9">
    <cfRule type="cellIs" dxfId="429" priority="18" operator="equal">
      <formula>"---"</formula>
    </cfRule>
  </conditionalFormatting>
  <conditionalFormatting sqref="C13:N14 C20:N20">
    <cfRule type="cellIs" dxfId="428" priority="12" operator="equal">
      <formula>0</formula>
    </cfRule>
  </conditionalFormatting>
  <conditionalFormatting sqref="B13:B14 B20">
    <cfRule type="cellIs" dxfId="427" priority="11" operator="equal">
      <formula>"---"</formula>
    </cfRule>
  </conditionalFormatting>
  <conditionalFormatting sqref="C10:N12">
    <cfRule type="cellIs" dxfId="426" priority="10" operator="equal">
      <formula>0</formula>
    </cfRule>
  </conditionalFormatting>
  <conditionalFormatting sqref="B10:B12">
    <cfRule type="cellIs" dxfId="425" priority="9" operator="equal">
      <formula>"---"</formula>
    </cfRule>
  </conditionalFormatting>
  <conditionalFormatting sqref="I15:I19 O15:Q19">
    <cfRule type="cellIs" dxfId="424" priority="5" operator="equal">
      <formula>0</formula>
    </cfRule>
  </conditionalFormatting>
  <conditionalFormatting sqref="C18:N19">
    <cfRule type="cellIs" dxfId="423" priority="4" operator="equal">
      <formula>0</formula>
    </cfRule>
  </conditionalFormatting>
  <conditionalFormatting sqref="B18:B19">
    <cfRule type="cellIs" dxfId="422" priority="3" operator="equal">
      <formula>"---"</formula>
    </cfRule>
  </conditionalFormatting>
  <conditionalFormatting sqref="C15:N17">
    <cfRule type="cellIs" dxfId="421" priority="2" operator="equal">
      <formula>0</formula>
    </cfRule>
  </conditionalFormatting>
  <conditionalFormatting sqref="B15:B17">
    <cfRule type="cellIs" dxfId="420" priority="1" operator="equal">
      <formula>"---"</formula>
    </cfRule>
  </conditionalFormatting>
  <hyperlinks>
    <hyperlink ref="B2" location="Übersicht!A1" display="Home"/>
  </hyperlinks>
  <pageMargins left="0.7" right="0.7" top="0.75" bottom="0.75" header="0.3" footer="0.3"/>
  <pageSetup paperSize="9" scale="39" fitToHeight="0" orientation="portrait" r:id="rId1"/>
  <headerFooter>
    <oddHeader>&amp;C&amp;14&amp;F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202"/>
  <sheetViews>
    <sheetView view="pageBreakPreview" zoomScaleNormal="100" zoomScaleSheetLayoutView="100" workbookViewId="0">
      <pane ySplit="3" topLeftCell="A4" activePane="bottomLeft" state="frozen"/>
      <selection activeCell="G2" sqref="G2:L2"/>
      <selection pane="bottomLeft" activeCell="G2" sqref="G2:L2"/>
    </sheetView>
  </sheetViews>
  <sheetFormatPr baseColWidth="10" defaultColWidth="11.42578125" defaultRowHeight="12.75" x14ac:dyDescent="0.2"/>
  <cols>
    <col min="1" max="1" width="14.140625" style="193" bestFit="1" customWidth="1"/>
    <col min="2" max="2" width="24.28515625" style="242" bestFit="1" customWidth="1"/>
    <col min="3" max="3" width="67.140625" style="193" customWidth="1"/>
    <col min="4" max="4" width="8.140625" style="197" bestFit="1" customWidth="1"/>
    <col min="5" max="5" width="21.85546875" style="193" customWidth="1"/>
    <col min="6" max="6" width="11.5703125" style="197" customWidth="1"/>
    <col min="7" max="7" width="16.28515625" style="243" customWidth="1"/>
    <col min="8" max="11" width="16.28515625" style="197" customWidth="1"/>
    <col min="12" max="16384" width="11.42578125" style="193"/>
  </cols>
  <sheetData>
    <row r="1" spans="2:12" ht="23.45" customHeight="1" x14ac:dyDescent="0.2">
      <c r="B1" s="194" t="s">
        <v>808</v>
      </c>
      <c r="C1" s="195" t="s">
        <v>509</v>
      </c>
      <c r="D1" s="323"/>
      <c r="E1" s="261" t="s">
        <v>786</v>
      </c>
      <c r="G1" s="198"/>
      <c r="H1" s="324"/>
      <c r="I1" s="200"/>
      <c r="J1" s="200"/>
      <c r="K1" s="200"/>
    </row>
    <row r="2" spans="2:12" ht="45.6" customHeight="1" x14ac:dyDescent="0.2">
      <c r="B2" s="325" t="s">
        <v>176</v>
      </c>
      <c r="C2" s="326" t="s">
        <v>510</v>
      </c>
      <c r="D2" s="327"/>
      <c r="E2" s="328"/>
      <c r="F2" s="328"/>
      <c r="G2" s="204"/>
      <c r="H2" s="329"/>
      <c r="I2" s="206"/>
      <c r="J2" s="206"/>
      <c r="K2" s="206"/>
    </row>
    <row r="3" spans="2:12" s="207" customFormat="1" ht="12" x14ac:dyDescent="0.25">
      <c r="B3" s="330" t="s">
        <v>0</v>
      </c>
      <c r="C3" s="331" t="s">
        <v>5</v>
      </c>
      <c r="D3" s="331" t="s">
        <v>181</v>
      </c>
      <c r="E3" s="331" t="s">
        <v>456</v>
      </c>
      <c r="F3" s="331"/>
      <c r="G3" s="332"/>
      <c r="H3" s="333"/>
      <c r="I3" s="331"/>
      <c r="J3" s="331"/>
      <c r="K3" s="334"/>
    </row>
    <row r="4" spans="2:12" s="218" customFormat="1" ht="12" customHeight="1" x14ac:dyDescent="0.2">
      <c r="B4" s="224"/>
      <c r="C4" s="335" t="s">
        <v>185</v>
      </c>
      <c r="D4" s="225"/>
      <c r="E4" s="220"/>
      <c r="F4" s="220"/>
      <c r="G4" s="336"/>
      <c r="H4" s="221"/>
      <c r="I4" s="210"/>
      <c r="J4" s="222"/>
      <c r="K4" s="280"/>
    </row>
    <row r="5" spans="2:12" s="218" customFormat="1" ht="12" customHeight="1" x14ac:dyDescent="0.2">
      <c r="B5" s="224" t="s">
        <v>447</v>
      </c>
      <c r="C5" s="279" t="s">
        <v>448</v>
      </c>
      <c r="D5" s="225">
        <v>1</v>
      </c>
      <c r="E5" s="210">
        <v>167.90123456790121</v>
      </c>
      <c r="F5" s="210"/>
      <c r="G5" s="336"/>
      <c r="H5" s="221"/>
      <c r="I5" s="210"/>
      <c r="J5" s="222"/>
      <c r="K5" s="280"/>
    </row>
    <row r="6" spans="2:12" s="218" customFormat="1" ht="12" customHeight="1" x14ac:dyDescent="0.2">
      <c r="B6" s="224" t="s">
        <v>275</v>
      </c>
      <c r="C6" s="279" t="s">
        <v>64</v>
      </c>
      <c r="D6" s="225">
        <v>3</v>
      </c>
      <c r="E6" s="210">
        <v>4.7901234567901234</v>
      </c>
      <c r="F6" s="210"/>
      <c r="G6" s="336"/>
      <c r="H6" s="221"/>
      <c r="I6" s="210"/>
      <c r="J6" s="222"/>
      <c r="K6" s="280"/>
    </row>
    <row r="7" spans="2:12" s="218" customFormat="1" ht="12" customHeight="1" x14ac:dyDescent="0.2">
      <c r="B7" s="224" t="s">
        <v>414</v>
      </c>
      <c r="C7" s="279" t="s">
        <v>415</v>
      </c>
      <c r="D7" s="225">
        <v>1</v>
      </c>
      <c r="E7" s="210">
        <v>17.098765432098762</v>
      </c>
      <c r="F7" s="210"/>
      <c r="G7" s="336"/>
      <c r="H7" s="221"/>
      <c r="I7" s="210"/>
      <c r="J7" s="222"/>
      <c r="K7" s="280"/>
    </row>
    <row r="8" spans="2:12" s="218" customFormat="1" ht="12" customHeight="1" x14ac:dyDescent="0.2">
      <c r="B8" s="224" t="s">
        <v>38</v>
      </c>
      <c r="C8" s="279" t="s">
        <v>39</v>
      </c>
      <c r="D8" s="225">
        <v>2</v>
      </c>
      <c r="E8" s="210">
        <v>0.68617283950617269</v>
      </c>
      <c r="F8" s="210"/>
      <c r="G8" s="336"/>
      <c r="H8" s="221"/>
      <c r="I8" s="210"/>
      <c r="J8" s="222"/>
      <c r="K8" s="280"/>
    </row>
    <row r="9" spans="2:12" s="218" customFormat="1" ht="12" customHeight="1" x14ac:dyDescent="0.2">
      <c r="B9" s="224" t="s">
        <v>272</v>
      </c>
      <c r="C9" s="279" t="s">
        <v>248</v>
      </c>
      <c r="D9" s="225">
        <v>1</v>
      </c>
      <c r="E9" s="210">
        <v>0.49135802469135803</v>
      </c>
      <c r="F9" s="210"/>
      <c r="G9" s="336"/>
      <c r="H9" s="221"/>
      <c r="I9" s="210"/>
      <c r="J9" s="222"/>
      <c r="K9" s="280"/>
    </row>
    <row r="10" spans="2:12" s="218" customFormat="1" ht="12" customHeight="1" x14ac:dyDescent="0.2">
      <c r="B10" s="224" t="s">
        <v>270</v>
      </c>
      <c r="C10" s="279" t="s">
        <v>43</v>
      </c>
      <c r="D10" s="225">
        <v>1</v>
      </c>
      <c r="E10" s="210">
        <v>16.123456790123456</v>
      </c>
      <c r="F10" s="210"/>
      <c r="G10" s="336"/>
      <c r="H10" s="221"/>
      <c r="I10" s="210"/>
      <c r="J10" s="222"/>
      <c r="K10" s="280"/>
    </row>
    <row r="11" spans="2:12" s="218" customFormat="1" ht="12" customHeight="1" x14ac:dyDescent="0.2">
      <c r="B11" s="224" t="s">
        <v>744</v>
      </c>
      <c r="C11" s="279" t="s">
        <v>745</v>
      </c>
      <c r="D11" s="225">
        <v>1</v>
      </c>
      <c r="E11" s="210">
        <v>0.7407407407407407</v>
      </c>
      <c r="F11" s="210"/>
      <c r="G11" s="336"/>
      <c r="H11" s="221"/>
      <c r="I11" s="210"/>
      <c r="J11" s="222"/>
      <c r="K11" s="280"/>
    </row>
    <row r="12" spans="2:12" s="218" customFormat="1" ht="12" customHeight="1" x14ac:dyDescent="0.2">
      <c r="B12" s="224" t="s">
        <v>265</v>
      </c>
      <c r="C12" s="279" t="s">
        <v>63</v>
      </c>
      <c r="D12" s="225">
        <v>4</v>
      </c>
      <c r="E12" s="210">
        <v>0.39382716049382716</v>
      </c>
      <c r="F12" s="210"/>
      <c r="G12" s="336"/>
      <c r="H12" s="221"/>
      <c r="I12" s="210"/>
      <c r="J12" s="222"/>
      <c r="K12" s="280"/>
    </row>
    <row r="13" spans="2:12" s="218" customFormat="1" ht="12" customHeight="1" x14ac:dyDescent="0.2">
      <c r="B13" s="219" t="s">
        <v>264</v>
      </c>
      <c r="C13" s="279" t="s">
        <v>76</v>
      </c>
      <c r="D13" s="225">
        <v>1</v>
      </c>
      <c r="E13" s="210">
        <v>0.3145679012345679</v>
      </c>
      <c r="F13" s="210"/>
      <c r="G13" s="336"/>
      <c r="H13" s="221"/>
      <c r="I13" s="210"/>
      <c r="J13" s="222"/>
      <c r="K13" s="280"/>
    </row>
    <row r="14" spans="2:12" s="218" customFormat="1" ht="12" customHeight="1" x14ac:dyDescent="0.2">
      <c r="B14" s="224" t="s">
        <v>116</v>
      </c>
      <c r="C14" s="279" t="s">
        <v>117</v>
      </c>
      <c r="D14" s="225">
        <v>3</v>
      </c>
      <c r="E14" s="210">
        <v>2.4691358024691357E-2</v>
      </c>
      <c r="F14" s="210"/>
      <c r="G14" s="336"/>
      <c r="H14" s="221"/>
      <c r="I14" s="210"/>
      <c r="J14" s="222"/>
      <c r="K14" s="280"/>
    </row>
    <row r="15" spans="2:12" s="251" customFormat="1" ht="12" customHeight="1" x14ac:dyDescent="0.2">
      <c r="B15" s="219" t="s">
        <v>209</v>
      </c>
      <c r="C15" s="279" t="s">
        <v>239</v>
      </c>
      <c r="D15" s="227">
        <v>14</v>
      </c>
      <c r="E15" s="210">
        <v>0</v>
      </c>
      <c r="F15" s="210"/>
      <c r="G15" s="336"/>
      <c r="H15" s="221"/>
      <c r="I15" s="235"/>
      <c r="J15" s="229"/>
      <c r="K15" s="337"/>
      <c r="L15" s="218"/>
    </row>
    <row r="16" spans="2:12" s="251" customFormat="1" ht="12" customHeight="1" x14ac:dyDescent="0.2">
      <c r="B16" s="219">
        <v>9824535</v>
      </c>
      <c r="C16" s="279" t="s">
        <v>158</v>
      </c>
      <c r="D16" s="227">
        <v>2</v>
      </c>
      <c r="E16" s="210">
        <v>1.2345679012345678E-2</v>
      </c>
      <c r="F16" s="210"/>
      <c r="G16" s="336"/>
      <c r="H16" s="221"/>
      <c r="I16" s="235"/>
      <c r="J16" s="229"/>
      <c r="K16" s="337"/>
      <c r="L16" s="218"/>
    </row>
    <row r="17" spans="2:12" s="251" customFormat="1" ht="12" customHeight="1" x14ac:dyDescent="0.2">
      <c r="B17" s="219" t="s">
        <v>210</v>
      </c>
      <c r="C17" s="279" t="s">
        <v>242</v>
      </c>
      <c r="D17" s="227">
        <v>1</v>
      </c>
      <c r="E17" s="210">
        <v>0</v>
      </c>
      <c r="F17" s="210"/>
      <c r="G17" s="336"/>
      <c r="H17" s="221"/>
      <c r="I17" s="235"/>
      <c r="J17" s="229"/>
      <c r="K17" s="337"/>
      <c r="L17" s="218"/>
    </row>
    <row r="18" spans="2:12" s="251" customFormat="1" ht="12" customHeight="1" x14ac:dyDescent="0.2">
      <c r="B18" s="219" t="s">
        <v>211</v>
      </c>
      <c r="C18" s="279" t="s">
        <v>241</v>
      </c>
      <c r="D18" s="227">
        <v>1</v>
      </c>
      <c r="E18" s="210">
        <v>0</v>
      </c>
      <c r="F18" s="210"/>
      <c r="G18" s="336"/>
      <c r="H18" s="221"/>
      <c r="I18" s="235"/>
      <c r="J18" s="229"/>
      <c r="K18" s="337"/>
      <c r="L18" s="218"/>
    </row>
    <row r="19" spans="2:12" s="251" customFormat="1" ht="12" customHeight="1" x14ac:dyDescent="0.2">
      <c r="B19" s="219" t="s">
        <v>212</v>
      </c>
      <c r="C19" s="279" t="s">
        <v>240</v>
      </c>
      <c r="D19" s="227">
        <v>4</v>
      </c>
      <c r="E19" s="210">
        <v>0</v>
      </c>
      <c r="F19" s="210"/>
      <c r="G19" s="336"/>
      <c r="H19" s="221"/>
      <c r="I19" s="235"/>
      <c r="J19" s="229"/>
      <c r="K19" s="337"/>
      <c r="L19" s="218"/>
    </row>
    <row r="20" spans="2:12" s="251" customFormat="1" ht="12" customHeight="1" x14ac:dyDescent="0.2">
      <c r="B20" s="219" t="s">
        <v>323</v>
      </c>
      <c r="C20" s="279" t="s">
        <v>487</v>
      </c>
      <c r="D20" s="227">
        <v>7</v>
      </c>
      <c r="E20" s="210">
        <v>0</v>
      </c>
      <c r="F20" s="210"/>
      <c r="G20" s="336"/>
      <c r="H20" s="221"/>
      <c r="I20" s="235"/>
      <c r="J20" s="229"/>
      <c r="K20" s="337"/>
      <c r="L20" s="218"/>
    </row>
    <row r="21" spans="2:12" s="251" customFormat="1" ht="12" customHeight="1" x14ac:dyDescent="0.2">
      <c r="B21" s="219" t="s">
        <v>213</v>
      </c>
      <c r="C21" s="279" t="s">
        <v>238</v>
      </c>
      <c r="D21" s="227">
        <v>4</v>
      </c>
      <c r="E21" s="210">
        <v>0</v>
      </c>
      <c r="F21" s="210"/>
      <c r="G21" s="336"/>
      <c r="H21" s="221"/>
      <c r="I21" s="235"/>
      <c r="J21" s="229"/>
      <c r="K21" s="337"/>
      <c r="L21" s="218"/>
    </row>
    <row r="22" spans="2:12" s="251" customFormat="1" ht="12" customHeight="1" x14ac:dyDescent="0.2">
      <c r="B22" s="219" t="s">
        <v>214</v>
      </c>
      <c r="C22" s="279" t="s">
        <v>246</v>
      </c>
      <c r="D22" s="227">
        <v>4</v>
      </c>
      <c r="E22" s="210">
        <v>0</v>
      </c>
      <c r="F22" s="210"/>
      <c r="G22" s="336"/>
      <c r="H22" s="221"/>
      <c r="I22" s="235"/>
      <c r="J22" s="229"/>
      <c r="K22" s="337"/>
      <c r="L22" s="218"/>
    </row>
    <row r="23" spans="2:12" s="251" customFormat="1" ht="12" customHeight="1" x14ac:dyDescent="0.2">
      <c r="B23" s="219" t="s">
        <v>215</v>
      </c>
      <c r="C23" s="279" t="s">
        <v>245</v>
      </c>
      <c r="D23" s="227">
        <v>4</v>
      </c>
      <c r="E23" s="210">
        <v>0</v>
      </c>
      <c r="F23" s="210"/>
      <c r="G23" s="336"/>
      <c r="H23" s="221"/>
      <c r="I23" s="235"/>
      <c r="J23" s="229"/>
      <c r="K23" s="337"/>
      <c r="L23" s="218"/>
    </row>
    <row r="24" spans="2:12" s="251" customFormat="1" ht="12" customHeight="1" x14ac:dyDescent="0.2">
      <c r="B24" s="219" t="s">
        <v>216</v>
      </c>
      <c r="C24" s="279" t="s">
        <v>237</v>
      </c>
      <c r="D24" s="227">
        <v>3</v>
      </c>
      <c r="E24" s="210">
        <v>0</v>
      </c>
      <c r="F24" s="210"/>
      <c r="G24" s="336"/>
      <c r="H24" s="221"/>
      <c r="I24" s="235"/>
      <c r="J24" s="229"/>
      <c r="K24" s="337"/>
      <c r="L24" s="218"/>
    </row>
    <row r="25" spans="2:12" s="251" customFormat="1" ht="12" customHeight="1" x14ac:dyDescent="0.2">
      <c r="B25" s="212" t="s">
        <v>647</v>
      </c>
      <c r="C25" s="279" t="s">
        <v>648</v>
      </c>
      <c r="D25" s="227">
        <v>1</v>
      </c>
      <c r="E25" s="210">
        <v>0</v>
      </c>
      <c r="F25" s="210"/>
      <c r="G25" s="336"/>
      <c r="H25" s="221"/>
      <c r="I25" s="235"/>
      <c r="J25" s="229"/>
      <c r="K25" s="337"/>
      <c r="L25" s="218"/>
    </row>
    <row r="26" spans="2:12" s="251" customFormat="1" ht="12" customHeight="1" x14ac:dyDescent="0.2">
      <c r="B26" s="338" t="s">
        <v>568</v>
      </c>
      <c r="C26" s="279" t="s">
        <v>403</v>
      </c>
      <c r="D26" s="227">
        <v>1</v>
      </c>
      <c r="E26" s="210">
        <v>1.9749012345679011</v>
      </c>
      <c r="F26" s="210"/>
      <c r="G26" s="336"/>
      <c r="H26" s="221"/>
      <c r="I26" s="235"/>
      <c r="J26" s="229"/>
      <c r="K26" s="337"/>
      <c r="L26" s="218"/>
    </row>
    <row r="27" spans="2:12" s="218" customFormat="1" ht="12" customHeight="1" x14ac:dyDescent="0.2">
      <c r="B27" s="224" t="s">
        <v>33</v>
      </c>
      <c r="C27" s="279" t="s">
        <v>152</v>
      </c>
      <c r="D27" s="225">
        <v>1</v>
      </c>
      <c r="E27" s="210">
        <v>86.419753086419746</v>
      </c>
      <c r="F27" s="210"/>
      <c r="G27" s="336"/>
      <c r="H27" s="221"/>
      <c r="I27" s="210"/>
      <c r="J27" s="222"/>
      <c r="K27" s="280"/>
    </row>
    <row r="28" spans="2:12" s="218" customFormat="1" ht="12" customHeight="1" x14ac:dyDescent="0.2">
      <c r="B28" s="224">
        <v>136</v>
      </c>
      <c r="C28" s="279" t="s">
        <v>710</v>
      </c>
      <c r="D28" s="265">
        <v>1</v>
      </c>
      <c r="E28" s="210">
        <v>0</v>
      </c>
      <c r="F28" s="210"/>
      <c r="G28" s="336"/>
      <c r="H28" s="221"/>
      <c r="I28" s="210"/>
      <c r="J28" s="222"/>
      <c r="K28" s="280"/>
    </row>
    <row r="29" spans="2:12" s="218" customFormat="1" ht="12" customHeight="1" x14ac:dyDescent="0.2">
      <c r="B29" s="224"/>
      <c r="C29" s="220"/>
      <c r="D29" s="225"/>
      <c r="E29" s="210">
        <v>0</v>
      </c>
      <c r="F29" s="210"/>
      <c r="G29" s="336"/>
      <c r="H29" s="221"/>
      <c r="I29" s="210"/>
      <c r="J29" s="222"/>
      <c r="K29" s="280"/>
    </row>
    <row r="30" spans="2:12" s="218" customFormat="1" ht="12" customHeight="1" x14ac:dyDescent="0.2">
      <c r="B30" s="224"/>
      <c r="C30" s="335" t="s">
        <v>186</v>
      </c>
      <c r="D30" s="225"/>
      <c r="E30" s="220">
        <v>0</v>
      </c>
      <c r="F30" s="210"/>
      <c r="G30" s="222"/>
      <c r="H30" s="237"/>
      <c r="I30" s="210"/>
      <c r="J30" s="222"/>
      <c r="K30" s="280"/>
    </row>
    <row r="31" spans="2:12" s="218" customFormat="1" ht="12" customHeight="1" x14ac:dyDescent="0.2">
      <c r="B31" s="338" t="s">
        <v>779</v>
      </c>
      <c r="C31" s="279" t="s">
        <v>278</v>
      </c>
      <c r="D31" s="227" t="s">
        <v>178</v>
      </c>
      <c r="E31" s="228">
        <v>0</v>
      </c>
      <c r="F31" s="210"/>
      <c r="G31" s="336"/>
      <c r="H31" s="221"/>
      <c r="I31" s="210"/>
      <c r="J31" s="222"/>
      <c r="K31" s="280"/>
    </row>
    <row r="32" spans="2:12" s="218" customFormat="1" ht="12" customHeight="1" x14ac:dyDescent="0.2">
      <c r="B32" s="338" t="s">
        <v>781</v>
      </c>
      <c r="C32" s="279" t="s">
        <v>279</v>
      </c>
      <c r="D32" s="227" t="s">
        <v>178</v>
      </c>
      <c r="E32" s="228">
        <v>0</v>
      </c>
      <c r="F32" s="210"/>
      <c r="G32" s="336"/>
      <c r="H32" s="221"/>
      <c r="I32" s="210"/>
      <c r="J32" s="222"/>
      <c r="K32" s="280"/>
    </row>
    <row r="33" spans="1:12" s="218" customFormat="1" ht="12" customHeight="1" x14ac:dyDescent="0.2">
      <c r="B33" s="338" t="s">
        <v>780</v>
      </c>
      <c r="C33" s="279" t="s">
        <v>253</v>
      </c>
      <c r="D33" s="227" t="s">
        <v>178</v>
      </c>
      <c r="E33" s="228">
        <v>0</v>
      </c>
      <c r="F33" s="210"/>
      <c r="G33" s="336"/>
      <c r="H33" s="221"/>
      <c r="I33" s="210"/>
      <c r="J33" s="222"/>
      <c r="K33" s="280"/>
    </row>
    <row r="34" spans="1:12" s="218" customFormat="1" ht="12" customHeight="1" x14ac:dyDescent="0.2">
      <c r="B34" s="264" t="s">
        <v>782</v>
      </c>
      <c r="C34" s="279" t="s">
        <v>519</v>
      </c>
      <c r="D34" s="227">
        <v>1</v>
      </c>
      <c r="E34" s="228">
        <v>0</v>
      </c>
      <c r="F34" s="210"/>
      <c r="G34" s="336"/>
      <c r="H34" s="221"/>
      <c r="I34" s="210"/>
      <c r="J34" s="222"/>
      <c r="K34" s="280"/>
    </row>
    <row r="35" spans="1:12" s="218" customFormat="1" ht="12" customHeight="1" x14ac:dyDescent="0.2">
      <c r="B35" s="212" t="s">
        <v>501</v>
      </c>
      <c r="C35" s="279" t="s">
        <v>518</v>
      </c>
      <c r="D35" s="227">
        <v>2</v>
      </c>
      <c r="E35" s="228">
        <v>0</v>
      </c>
      <c r="F35" s="210"/>
      <c r="G35" s="336"/>
      <c r="H35" s="221"/>
      <c r="I35" s="210"/>
      <c r="J35" s="222"/>
      <c r="K35" s="280"/>
    </row>
    <row r="36" spans="1:12" ht="12" customHeight="1" x14ac:dyDescent="0.2">
      <c r="A36" s="218"/>
      <c r="B36" s="212" t="s">
        <v>225</v>
      </c>
      <c r="C36" s="279" t="s">
        <v>252</v>
      </c>
      <c r="D36" s="339">
        <v>1</v>
      </c>
      <c r="E36" s="252">
        <v>0</v>
      </c>
      <c r="F36" s="210"/>
      <c r="G36" s="336"/>
      <c r="H36" s="221"/>
      <c r="I36" s="210"/>
      <c r="J36" s="222"/>
      <c r="K36" s="280"/>
      <c r="L36" s="218"/>
    </row>
    <row r="37" spans="1:12" ht="12" customHeight="1" x14ac:dyDescent="0.2">
      <c r="A37" s="218"/>
      <c r="B37" s="212"/>
      <c r="C37" s="220"/>
      <c r="D37" s="339"/>
      <c r="E37" s="252">
        <v>0</v>
      </c>
      <c r="F37" s="210"/>
      <c r="G37" s="229"/>
      <c r="H37" s="340"/>
      <c r="I37" s="210"/>
      <c r="J37" s="222"/>
      <c r="K37" s="280"/>
      <c r="L37" s="218"/>
    </row>
    <row r="38" spans="1:12" ht="12" customHeight="1" x14ac:dyDescent="0.2">
      <c r="A38" s="218"/>
      <c r="B38" s="212"/>
      <c r="C38" s="341" t="s">
        <v>188</v>
      </c>
      <c r="D38" s="339"/>
      <c r="E38" s="252">
        <v>0</v>
      </c>
      <c r="F38" s="210"/>
      <c r="G38" s="229"/>
      <c r="H38" s="340"/>
      <c r="I38" s="210"/>
      <c r="J38" s="222"/>
      <c r="K38" s="342"/>
      <c r="L38" s="218"/>
    </row>
    <row r="39" spans="1:12" ht="12" customHeight="1" x14ac:dyDescent="0.2">
      <c r="A39" s="218"/>
      <c r="B39" s="212"/>
      <c r="C39" s="335" t="s">
        <v>177</v>
      </c>
      <c r="D39" s="339"/>
      <c r="E39" s="252">
        <v>0</v>
      </c>
      <c r="F39" s="210"/>
      <c r="G39" s="229"/>
      <c r="H39" s="340"/>
      <c r="I39" s="210"/>
      <c r="J39" s="222"/>
      <c r="K39" s="342"/>
      <c r="L39" s="218"/>
    </row>
    <row r="40" spans="1:12" ht="12" customHeight="1" x14ac:dyDescent="0.2">
      <c r="A40" s="218"/>
      <c r="B40" s="212" t="s">
        <v>344</v>
      </c>
      <c r="C40" s="279" t="s">
        <v>45</v>
      </c>
      <c r="D40" s="339">
        <v>1</v>
      </c>
      <c r="E40" s="210">
        <v>1008.5308641975307</v>
      </c>
      <c r="F40" s="210"/>
      <c r="G40" s="210"/>
      <c r="H40" s="221"/>
      <c r="I40" s="210"/>
      <c r="J40" s="222"/>
      <c r="K40" s="342"/>
      <c r="L40" s="218"/>
    </row>
    <row r="41" spans="1:12" ht="12" customHeight="1" x14ac:dyDescent="0.2">
      <c r="A41" s="218"/>
      <c r="B41" s="212" t="s">
        <v>345</v>
      </c>
      <c r="C41" s="279" t="s">
        <v>46</v>
      </c>
      <c r="D41" s="339">
        <v>1</v>
      </c>
      <c r="E41" s="210">
        <v>1251.6049382716049</v>
      </c>
      <c r="F41" s="210"/>
      <c r="G41" s="210"/>
      <c r="H41" s="221"/>
      <c r="I41" s="210"/>
      <c r="J41" s="222"/>
      <c r="K41" s="342"/>
      <c r="L41" s="218"/>
    </row>
    <row r="42" spans="1:12" ht="12" customHeight="1" x14ac:dyDescent="0.2">
      <c r="A42" s="218"/>
      <c r="B42" s="212" t="s">
        <v>346</v>
      </c>
      <c r="C42" s="279" t="s">
        <v>47</v>
      </c>
      <c r="D42" s="339">
        <v>1</v>
      </c>
      <c r="E42" s="210">
        <v>1235.2222222222222</v>
      </c>
      <c r="F42" s="210"/>
      <c r="G42" s="210"/>
      <c r="H42" s="221"/>
      <c r="I42" s="210"/>
      <c r="J42" s="222"/>
      <c r="K42" s="342"/>
      <c r="L42" s="218"/>
    </row>
    <row r="43" spans="1:12" ht="12" customHeight="1" x14ac:dyDescent="0.2">
      <c r="A43" s="218"/>
      <c r="B43" s="212" t="s">
        <v>347</v>
      </c>
      <c r="C43" s="279" t="s">
        <v>48</v>
      </c>
      <c r="D43" s="339">
        <v>1</v>
      </c>
      <c r="E43" s="210">
        <v>1500.1234567901233</v>
      </c>
      <c r="F43" s="210"/>
      <c r="G43" s="210"/>
      <c r="H43" s="221"/>
      <c r="I43" s="210"/>
      <c r="J43" s="222"/>
      <c r="K43" s="342"/>
      <c r="L43" s="218"/>
    </row>
    <row r="44" spans="1:12" ht="12" customHeight="1" x14ac:dyDescent="0.2">
      <c r="A44" s="218"/>
      <c r="B44" s="212" t="s">
        <v>348</v>
      </c>
      <c r="C44" s="279" t="s">
        <v>49</v>
      </c>
      <c r="D44" s="339">
        <v>1</v>
      </c>
      <c r="E44" s="210">
        <v>1098.679012345679</v>
      </c>
      <c r="F44" s="210"/>
      <c r="G44" s="210"/>
      <c r="H44" s="221"/>
      <c r="I44" s="210"/>
      <c r="J44" s="222"/>
      <c r="K44" s="342"/>
      <c r="L44" s="218"/>
    </row>
    <row r="45" spans="1:12" ht="12" customHeight="1" x14ac:dyDescent="0.2">
      <c r="A45" s="218"/>
      <c r="B45" s="212" t="s">
        <v>349</v>
      </c>
      <c r="C45" s="279" t="s">
        <v>50</v>
      </c>
      <c r="D45" s="339">
        <v>1</v>
      </c>
      <c r="E45" s="210">
        <v>1405.9506172839504</v>
      </c>
      <c r="F45" s="210"/>
      <c r="G45" s="210"/>
      <c r="H45" s="221"/>
      <c r="I45" s="210"/>
      <c r="J45" s="222"/>
      <c r="K45" s="342"/>
      <c r="L45" s="218"/>
    </row>
    <row r="46" spans="1:12" ht="12" customHeight="1" x14ac:dyDescent="0.2">
      <c r="A46" s="218"/>
      <c r="B46" s="212" t="s">
        <v>350</v>
      </c>
      <c r="C46" s="279" t="s">
        <v>51</v>
      </c>
      <c r="D46" s="339">
        <v>1</v>
      </c>
      <c r="E46" s="210">
        <v>1400.1481481481478</v>
      </c>
      <c r="F46" s="210"/>
      <c r="G46" s="210"/>
      <c r="H46" s="221"/>
      <c r="I46" s="210"/>
      <c r="J46" s="222"/>
      <c r="K46" s="342"/>
      <c r="L46" s="218"/>
    </row>
    <row r="47" spans="1:12" ht="12" customHeight="1" x14ac:dyDescent="0.2">
      <c r="A47" s="218"/>
      <c r="B47" s="212" t="s">
        <v>351</v>
      </c>
      <c r="C47" s="279" t="s">
        <v>52</v>
      </c>
      <c r="D47" s="339">
        <v>1</v>
      </c>
      <c r="E47" s="210">
        <v>1707.4197530864196</v>
      </c>
      <c r="F47" s="210"/>
      <c r="G47" s="210"/>
      <c r="H47" s="221"/>
      <c r="I47" s="210"/>
      <c r="J47" s="222"/>
      <c r="K47" s="342"/>
      <c r="L47" s="218"/>
    </row>
    <row r="48" spans="1:12" ht="12" customHeight="1" x14ac:dyDescent="0.2">
      <c r="A48" s="218"/>
      <c r="B48" s="212" t="s">
        <v>352</v>
      </c>
      <c r="C48" s="279" t="s">
        <v>53</v>
      </c>
      <c r="D48" s="339">
        <v>1</v>
      </c>
      <c r="E48" s="210">
        <v>1252.1604938271605</v>
      </c>
      <c r="F48" s="210"/>
      <c r="G48" s="210"/>
      <c r="H48" s="221"/>
      <c r="I48" s="210"/>
      <c r="J48" s="222"/>
      <c r="K48" s="342"/>
      <c r="L48" s="218"/>
    </row>
    <row r="49" spans="1:12" ht="12" customHeight="1" x14ac:dyDescent="0.2">
      <c r="A49" s="218"/>
      <c r="B49" s="212" t="s">
        <v>353</v>
      </c>
      <c r="C49" s="279" t="s">
        <v>54</v>
      </c>
      <c r="D49" s="339">
        <v>1</v>
      </c>
      <c r="E49" s="210">
        <v>1723.148148148148</v>
      </c>
      <c r="F49" s="210"/>
      <c r="G49" s="210"/>
      <c r="H49" s="221"/>
      <c r="I49" s="210"/>
      <c r="J49" s="222"/>
      <c r="K49" s="342"/>
      <c r="L49" s="218"/>
    </row>
    <row r="50" spans="1:12" ht="12" customHeight="1" x14ac:dyDescent="0.2">
      <c r="A50" s="218"/>
      <c r="B50" s="212" t="s">
        <v>354</v>
      </c>
      <c r="C50" s="279" t="s">
        <v>55</v>
      </c>
      <c r="D50" s="339">
        <v>1</v>
      </c>
      <c r="E50" s="210">
        <v>1613.1234567901236</v>
      </c>
      <c r="F50" s="210"/>
      <c r="G50" s="210"/>
      <c r="H50" s="221"/>
      <c r="I50" s="210"/>
      <c r="J50" s="222"/>
      <c r="K50" s="342"/>
      <c r="L50" s="218"/>
    </row>
    <row r="51" spans="1:12" ht="12" customHeight="1" x14ac:dyDescent="0.2">
      <c r="A51" s="218"/>
      <c r="B51" s="212" t="s">
        <v>355</v>
      </c>
      <c r="C51" s="279" t="s">
        <v>56</v>
      </c>
      <c r="D51" s="339">
        <v>1</v>
      </c>
      <c r="E51" s="210">
        <v>2084.1111111111113</v>
      </c>
      <c r="F51" s="210"/>
      <c r="G51" s="210"/>
      <c r="H51" s="221"/>
      <c r="I51" s="210"/>
      <c r="J51" s="222"/>
      <c r="K51" s="342"/>
      <c r="L51" s="218"/>
    </row>
    <row r="52" spans="1:12" ht="12" customHeight="1" x14ac:dyDescent="0.2">
      <c r="A52" s="218"/>
      <c r="B52" s="212"/>
      <c r="C52" s="220"/>
      <c r="D52" s="339"/>
      <c r="E52" s="252">
        <v>0</v>
      </c>
      <c r="F52" s="210"/>
      <c r="G52" s="229"/>
      <c r="H52" s="340"/>
      <c r="I52" s="210"/>
      <c r="J52" s="222"/>
      <c r="K52" s="342"/>
      <c r="L52" s="218"/>
    </row>
    <row r="53" spans="1:12" ht="12" customHeight="1" x14ac:dyDescent="0.2">
      <c r="B53" s="212"/>
      <c r="C53" s="234" t="s">
        <v>11</v>
      </c>
      <c r="D53" s="225">
        <v>1</v>
      </c>
      <c r="E53" s="210">
        <v>0</v>
      </c>
      <c r="F53" s="210"/>
      <c r="G53" s="210"/>
      <c r="H53" s="210"/>
      <c r="I53" s="210"/>
      <c r="J53" s="222"/>
      <c r="K53" s="280"/>
      <c r="L53" s="218"/>
    </row>
    <row r="54" spans="1:12" ht="12" customHeight="1" x14ac:dyDescent="0.2">
      <c r="B54" s="212"/>
      <c r="C54" s="234" t="s">
        <v>12</v>
      </c>
      <c r="D54" s="225">
        <v>1</v>
      </c>
      <c r="E54" s="210">
        <v>0</v>
      </c>
      <c r="F54" s="210"/>
      <c r="G54" s="210"/>
      <c r="H54" s="210"/>
      <c r="I54" s="210"/>
      <c r="J54" s="222"/>
      <c r="K54" s="280"/>
      <c r="L54" s="218"/>
    </row>
    <row r="55" spans="1:12" ht="12" customHeight="1" x14ac:dyDescent="0.2">
      <c r="B55" s="212"/>
      <c r="C55" s="335" t="s">
        <v>11</v>
      </c>
      <c r="D55" s="225"/>
      <c r="E55" s="210">
        <v>0</v>
      </c>
      <c r="F55" s="210"/>
      <c r="G55" s="222"/>
      <c r="H55" s="343"/>
      <c r="I55" s="210"/>
      <c r="J55" s="222"/>
      <c r="K55" s="280"/>
      <c r="L55" s="218"/>
    </row>
    <row r="56" spans="1:12" ht="12" customHeight="1" x14ac:dyDescent="0.2">
      <c r="B56" s="212" t="s">
        <v>263</v>
      </c>
      <c r="C56" s="279" t="s">
        <v>6</v>
      </c>
      <c r="D56" s="225">
        <v>1</v>
      </c>
      <c r="E56" s="210">
        <v>82.308641975308632</v>
      </c>
      <c r="F56" s="210"/>
      <c r="G56" s="222"/>
      <c r="H56" s="221"/>
      <c r="I56" s="210"/>
      <c r="J56" s="222"/>
      <c r="K56" s="280"/>
      <c r="L56" s="218"/>
    </row>
    <row r="57" spans="1:12" ht="12" customHeight="1" x14ac:dyDescent="0.2">
      <c r="B57" s="212" t="s">
        <v>269</v>
      </c>
      <c r="C57" s="279" t="s">
        <v>142</v>
      </c>
      <c r="D57" s="225">
        <v>1</v>
      </c>
      <c r="E57" s="210">
        <v>2.0617283950617282</v>
      </c>
      <c r="F57" s="210"/>
      <c r="G57" s="222"/>
      <c r="H57" s="221"/>
      <c r="I57" s="210"/>
      <c r="J57" s="222"/>
      <c r="K57" s="280"/>
      <c r="L57" s="218"/>
    </row>
    <row r="58" spans="1:12" ht="12" customHeight="1" x14ac:dyDescent="0.2">
      <c r="B58" s="292" t="s">
        <v>262</v>
      </c>
      <c r="C58" s="279" t="s">
        <v>102</v>
      </c>
      <c r="D58" s="225">
        <v>1</v>
      </c>
      <c r="E58" s="210">
        <v>4.8745679012345677</v>
      </c>
      <c r="F58" s="210"/>
      <c r="G58" s="222"/>
      <c r="H58" s="221"/>
      <c r="I58" s="210"/>
      <c r="J58" s="222"/>
      <c r="K58" s="280"/>
      <c r="L58" s="218"/>
    </row>
    <row r="59" spans="1:12" ht="12" customHeight="1" x14ac:dyDescent="0.2">
      <c r="B59" s="212" t="s">
        <v>271</v>
      </c>
      <c r="C59" s="279" t="s">
        <v>65</v>
      </c>
      <c r="D59" s="225">
        <v>1</v>
      </c>
      <c r="E59" s="210">
        <v>4.9375308641975302</v>
      </c>
      <c r="F59" s="210"/>
      <c r="G59" s="222"/>
      <c r="H59" s="221"/>
      <c r="I59" s="210"/>
      <c r="J59" s="222"/>
      <c r="K59" s="280"/>
      <c r="L59" s="218"/>
    </row>
    <row r="60" spans="1:12" ht="12" customHeight="1" x14ac:dyDescent="0.2">
      <c r="B60" s="212"/>
      <c r="C60" s="335" t="s">
        <v>12</v>
      </c>
      <c r="D60" s="225">
        <v>1</v>
      </c>
      <c r="E60" s="344">
        <v>0</v>
      </c>
      <c r="F60" s="210"/>
      <c r="G60" s="222"/>
      <c r="H60" s="343"/>
      <c r="I60" s="210"/>
      <c r="J60" s="222"/>
      <c r="K60" s="280"/>
      <c r="L60" s="218"/>
    </row>
    <row r="61" spans="1:12" ht="12" customHeight="1" x14ac:dyDescent="0.2">
      <c r="B61" s="338" t="s">
        <v>566</v>
      </c>
      <c r="C61" s="279" t="s">
        <v>567</v>
      </c>
      <c r="D61" s="225">
        <v>1</v>
      </c>
      <c r="E61" s="235">
        <v>86.123456790123456</v>
      </c>
      <c r="F61" s="210"/>
      <c r="G61" s="222"/>
      <c r="H61" s="221"/>
      <c r="I61" s="210"/>
      <c r="J61" s="222"/>
      <c r="K61" s="280"/>
      <c r="L61" s="218"/>
    </row>
    <row r="62" spans="1:12" ht="12" customHeight="1" x14ac:dyDescent="0.2">
      <c r="B62" s="338" t="s">
        <v>35</v>
      </c>
      <c r="C62" s="279" t="s">
        <v>143</v>
      </c>
      <c r="D62" s="225">
        <v>1</v>
      </c>
      <c r="E62" s="210">
        <v>18.061728395061728</v>
      </c>
      <c r="F62" s="210"/>
      <c r="G62" s="222"/>
      <c r="H62" s="221"/>
      <c r="I62" s="210"/>
      <c r="J62" s="222"/>
      <c r="K62" s="280"/>
      <c r="L62" s="218"/>
    </row>
    <row r="63" spans="1:12" ht="12" customHeight="1" x14ac:dyDescent="0.2">
      <c r="B63" s="338">
        <v>3809200</v>
      </c>
      <c r="C63" s="279" t="s">
        <v>7</v>
      </c>
      <c r="D63" s="225">
        <v>1</v>
      </c>
      <c r="E63" s="210">
        <v>1.9753086419753085</v>
      </c>
      <c r="F63" s="210"/>
      <c r="G63" s="222"/>
      <c r="H63" s="221"/>
      <c r="I63" s="210"/>
      <c r="J63" s="222"/>
      <c r="K63" s="280"/>
      <c r="L63" s="218"/>
    </row>
    <row r="64" spans="1:12" ht="12" customHeight="1" x14ac:dyDescent="0.2">
      <c r="B64" s="338" t="s">
        <v>243</v>
      </c>
      <c r="C64" s="279" t="s">
        <v>244</v>
      </c>
      <c r="D64" s="225">
        <v>1</v>
      </c>
      <c r="E64" s="210">
        <v>0</v>
      </c>
      <c r="F64" s="210"/>
      <c r="G64" s="222"/>
      <c r="H64" s="221"/>
      <c r="I64" s="210"/>
      <c r="J64" s="222"/>
      <c r="K64" s="280"/>
      <c r="L64" s="218"/>
    </row>
    <row r="65" spans="2:12" ht="12" customHeight="1" x14ac:dyDescent="0.2">
      <c r="B65" s="338" t="s">
        <v>41</v>
      </c>
      <c r="C65" s="279" t="s">
        <v>42</v>
      </c>
      <c r="D65" s="225">
        <v>1</v>
      </c>
      <c r="E65" s="210">
        <v>0.29703703703703704</v>
      </c>
      <c r="F65" s="210"/>
      <c r="G65" s="222"/>
      <c r="H65" s="221"/>
      <c r="I65" s="210"/>
      <c r="J65" s="222"/>
      <c r="K65" s="280"/>
      <c r="L65" s="218"/>
    </row>
    <row r="66" spans="2:12" ht="12" customHeight="1" x14ac:dyDescent="0.2">
      <c r="B66" s="338"/>
      <c r="C66" s="265"/>
      <c r="D66" s="225"/>
      <c r="E66" s="210">
        <v>0</v>
      </c>
      <c r="F66" s="210"/>
      <c r="G66" s="222"/>
      <c r="H66" s="221"/>
      <c r="I66" s="210"/>
      <c r="J66" s="222"/>
      <c r="K66" s="280"/>
      <c r="L66" s="218"/>
    </row>
    <row r="67" spans="2:12" ht="12" customHeight="1" x14ac:dyDescent="0.2">
      <c r="B67" s="212"/>
      <c r="C67" s="213" t="s">
        <v>44</v>
      </c>
      <c r="D67" s="227"/>
      <c r="E67" s="228">
        <v>0</v>
      </c>
      <c r="F67" s="235"/>
      <c r="G67" s="229"/>
      <c r="H67" s="340"/>
      <c r="I67" s="210"/>
      <c r="J67" s="222"/>
      <c r="K67" s="280"/>
      <c r="L67" s="218"/>
    </row>
    <row r="68" spans="2:12" ht="12" customHeight="1" x14ac:dyDescent="0.2">
      <c r="B68" s="212"/>
      <c r="C68" s="335" t="s">
        <v>702</v>
      </c>
      <c r="D68" s="227"/>
      <c r="E68" s="228">
        <v>0</v>
      </c>
      <c r="F68" s="235"/>
      <c r="G68" s="229"/>
      <c r="H68" s="340"/>
      <c r="I68" s="210"/>
      <c r="J68" s="222"/>
      <c r="K68" s="280"/>
      <c r="L68" s="218"/>
    </row>
    <row r="69" spans="2:12" ht="12" customHeight="1" x14ac:dyDescent="0.2">
      <c r="B69" s="212" t="s">
        <v>452</v>
      </c>
      <c r="C69" s="279" t="s">
        <v>514</v>
      </c>
      <c r="D69" s="227">
        <v>1</v>
      </c>
      <c r="E69" s="235">
        <v>61.728395061728392</v>
      </c>
      <c r="F69" s="235"/>
      <c r="G69" s="229"/>
      <c r="H69" s="221"/>
      <c r="I69" s="210"/>
      <c r="J69" s="222"/>
      <c r="K69" s="280"/>
      <c r="L69" s="218"/>
    </row>
    <row r="70" spans="2:12" ht="12" customHeight="1" x14ac:dyDescent="0.2">
      <c r="B70" s="212" t="s">
        <v>449</v>
      </c>
      <c r="C70" s="279" t="s">
        <v>450</v>
      </c>
      <c r="D70" s="227">
        <v>1</v>
      </c>
      <c r="E70" s="235">
        <v>118.39506172839506</v>
      </c>
      <c r="F70" s="235"/>
      <c r="G70" s="229"/>
      <c r="H70" s="221"/>
      <c r="I70" s="210"/>
      <c r="J70" s="222"/>
      <c r="K70" s="280"/>
      <c r="L70" s="218"/>
    </row>
    <row r="71" spans="2:12" ht="12" customHeight="1" x14ac:dyDescent="0.2">
      <c r="B71" s="292" t="s">
        <v>451</v>
      </c>
      <c r="C71" s="279" t="s">
        <v>743</v>
      </c>
      <c r="D71" s="227">
        <v>1</v>
      </c>
      <c r="E71" s="235">
        <v>281.95061728395058</v>
      </c>
      <c r="F71" s="235"/>
      <c r="G71" s="229"/>
      <c r="H71" s="221"/>
      <c r="I71" s="210"/>
      <c r="J71" s="222"/>
      <c r="K71" s="280"/>
      <c r="L71" s="218"/>
    </row>
    <row r="72" spans="2:12" ht="12" customHeight="1" x14ac:dyDescent="0.2">
      <c r="B72" s="212" t="s">
        <v>422</v>
      </c>
      <c r="C72" s="279" t="s">
        <v>423</v>
      </c>
      <c r="D72" s="227">
        <v>1</v>
      </c>
      <c r="E72" s="235">
        <v>356.79012345679013</v>
      </c>
      <c r="F72" s="235"/>
      <c r="G72" s="229"/>
      <c r="H72" s="221"/>
      <c r="I72" s="210"/>
      <c r="J72" s="222"/>
      <c r="K72" s="280"/>
      <c r="L72" s="218"/>
    </row>
    <row r="73" spans="2:12" ht="12" customHeight="1" x14ac:dyDescent="0.2">
      <c r="B73" s="212"/>
      <c r="C73" s="335" t="s">
        <v>703</v>
      </c>
      <c r="D73" s="227"/>
      <c r="E73" s="235">
        <v>0</v>
      </c>
      <c r="F73" s="235"/>
      <c r="G73" s="229"/>
      <c r="H73" s="221"/>
      <c r="I73" s="210"/>
      <c r="J73" s="222"/>
      <c r="K73" s="280"/>
      <c r="L73" s="218"/>
    </row>
    <row r="74" spans="2:12" ht="12" customHeight="1" x14ac:dyDescent="0.2">
      <c r="B74" s="212" t="s">
        <v>407</v>
      </c>
      <c r="C74" s="279" t="s">
        <v>408</v>
      </c>
      <c r="D74" s="227">
        <v>1</v>
      </c>
      <c r="E74" s="235">
        <v>48.148148148148145</v>
      </c>
      <c r="F74" s="235"/>
      <c r="G74" s="229"/>
      <c r="H74" s="221"/>
      <c r="I74" s="210"/>
      <c r="J74" s="222"/>
      <c r="K74" s="280"/>
      <c r="L74" s="218"/>
    </row>
    <row r="75" spans="2:12" ht="12" customHeight="1" x14ac:dyDescent="0.2">
      <c r="B75" s="212" t="s">
        <v>360</v>
      </c>
      <c r="C75" s="279" t="s">
        <v>361</v>
      </c>
      <c r="D75" s="227">
        <v>1</v>
      </c>
      <c r="E75" s="235">
        <v>145.67901234567901</v>
      </c>
      <c r="F75" s="235"/>
      <c r="G75" s="229"/>
      <c r="H75" s="221"/>
      <c r="I75" s="210"/>
      <c r="J75" s="222"/>
      <c r="K75" s="280"/>
      <c r="L75" s="218"/>
    </row>
    <row r="76" spans="2:12" ht="12" customHeight="1" x14ac:dyDescent="0.2">
      <c r="B76" s="212" t="s">
        <v>358</v>
      </c>
      <c r="C76" s="279" t="s">
        <v>359</v>
      </c>
      <c r="D76" s="227">
        <v>1</v>
      </c>
      <c r="E76" s="235">
        <v>265.53086419753089</v>
      </c>
      <c r="F76" s="235"/>
      <c r="G76" s="229"/>
      <c r="H76" s="221"/>
      <c r="I76" s="210"/>
      <c r="J76" s="222"/>
      <c r="K76" s="280"/>
      <c r="L76" s="218"/>
    </row>
    <row r="77" spans="2:12" ht="12" customHeight="1" x14ac:dyDescent="0.2">
      <c r="B77" s="212" t="s">
        <v>356</v>
      </c>
      <c r="C77" s="279" t="s">
        <v>357</v>
      </c>
      <c r="D77" s="227">
        <v>1</v>
      </c>
      <c r="E77" s="235">
        <v>364.19753086419752</v>
      </c>
      <c r="F77" s="235"/>
      <c r="G77" s="229"/>
      <c r="H77" s="221"/>
      <c r="I77" s="210"/>
      <c r="J77" s="222"/>
      <c r="K77" s="280"/>
      <c r="L77" s="218"/>
    </row>
    <row r="78" spans="2:12" ht="12" customHeight="1" x14ac:dyDescent="0.2">
      <c r="B78" s="212">
        <v>2180007</v>
      </c>
      <c r="C78" s="279" t="s">
        <v>329</v>
      </c>
      <c r="D78" s="227">
        <v>1</v>
      </c>
      <c r="E78" s="235">
        <v>159.25925925925924</v>
      </c>
      <c r="F78" s="235"/>
      <c r="G78" s="229"/>
      <c r="H78" s="221"/>
      <c r="I78" s="210"/>
      <c r="J78" s="222"/>
      <c r="K78" s="280"/>
      <c r="L78" s="218"/>
    </row>
    <row r="79" spans="2:12" ht="12" customHeight="1" x14ac:dyDescent="0.2">
      <c r="B79" s="212">
        <v>2180002</v>
      </c>
      <c r="C79" s="279" t="s">
        <v>318</v>
      </c>
      <c r="D79" s="227">
        <v>1</v>
      </c>
      <c r="E79" s="235">
        <v>207.38271604938268</v>
      </c>
      <c r="F79" s="235"/>
      <c r="G79" s="229"/>
      <c r="H79" s="221"/>
      <c r="I79" s="210"/>
      <c r="J79" s="222"/>
      <c r="K79" s="280"/>
      <c r="L79" s="218"/>
    </row>
    <row r="80" spans="2:12" ht="12" customHeight="1" x14ac:dyDescent="0.2">
      <c r="B80" s="212">
        <v>2180001</v>
      </c>
      <c r="C80" s="279" t="s">
        <v>317</v>
      </c>
      <c r="D80" s="227">
        <v>1</v>
      </c>
      <c r="E80" s="235">
        <v>332.09876543209873</v>
      </c>
      <c r="F80" s="235"/>
      <c r="G80" s="229"/>
      <c r="H80" s="221"/>
      <c r="I80" s="210"/>
      <c r="J80" s="222"/>
      <c r="K80" s="280"/>
      <c r="L80" s="218"/>
    </row>
    <row r="81" spans="2:12" ht="12" customHeight="1" x14ac:dyDescent="0.2">
      <c r="B81" s="219"/>
      <c r="C81" s="273"/>
      <c r="D81" s="227"/>
      <c r="E81" s="228">
        <v>0</v>
      </c>
      <c r="F81" s="235"/>
      <c r="G81" s="229"/>
      <c r="H81" s="340"/>
      <c r="I81" s="210"/>
      <c r="J81" s="222"/>
      <c r="K81" s="280"/>
      <c r="L81" s="218"/>
    </row>
    <row r="82" spans="2:12" ht="12" customHeight="1" x14ac:dyDescent="0.2">
      <c r="B82" s="219"/>
      <c r="C82" s="335" t="s">
        <v>1</v>
      </c>
      <c r="D82" s="225"/>
      <c r="E82" s="220">
        <v>0</v>
      </c>
      <c r="F82" s="210"/>
      <c r="G82" s="222"/>
      <c r="H82" s="237"/>
      <c r="I82" s="210"/>
      <c r="J82" s="222"/>
      <c r="K82" s="280"/>
      <c r="L82" s="218"/>
    </row>
    <row r="83" spans="2:12" ht="12" customHeight="1" x14ac:dyDescent="0.2">
      <c r="B83" s="219" t="s">
        <v>483</v>
      </c>
      <c r="C83" s="279" t="s">
        <v>484</v>
      </c>
      <c r="D83" s="225">
        <v>1</v>
      </c>
      <c r="E83" s="210">
        <v>41.975308641975303</v>
      </c>
      <c r="F83" s="210"/>
      <c r="G83" s="222"/>
      <c r="H83" s="221"/>
      <c r="I83" s="210"/>
      <c r="J83" s="222"/>
      <c r="K83" s="280"/>
      <c r="L83" s="218"/>
    </row>
    <row r="84" spans="2:12" ht="12" customHeight="1" x14ac:dyDescent="0.2">
      <c r="B84" s="219" t="s">
        <v>478</v>
      </c>
      <c r="C84" s="279" t="s">
        <v>392</v>
      </c>
      <c r="D84" s="225">
        <v>1</v>
      </c>
      <c r="E84" s="210">
        <v>43.209876543209873</v>
      </c>
      <c r="F84" s="210"/>
      <c r="G84" s="222"/>
      <c r="H84" s="221"/>
      <c r="I84" s="210"/>
      <c r="J84" s="222"/>
      <c r="K84" s="280"/>
      <c r="L84" s="218"/>
    </row>
    <row r="85" spans="2:12" ht="12" customHeight="1" x14ac:dyDescent="0.2">
      <c r="B85" s="226" t="s">
        <v>493</v>
      </c>
      <c r="C85" s="279" t="s">
        <v>393</v>
      </c>
      <c r="D85" s="225">
        <v>1</v>
      </c>
      <c r="E85" s="210">
        <v>80.467901234567904</v>
      </c>
      <c r="F85" s="210"/>
      <c r="G85" s="222"/>
      <c r="H85" s="221"/>
      <c r="I85" s="210"/>
      <c r="J85" s="222"/>
      <c r="K85" s="280"/>
      <c r="L85" s="218"/>
    </row>
    <row r="86" spans="2:12" ht="12" customHeight="1" x14ac:dyDescent="0.2">
      <c r="B86" s="226">
        <v>2192156</v>
      </c>
      <c r="C86" s="279" t="s">
        <v>319</v>
      </c>
      <c r="D86" s="225">
        <v>1</v>
      </c>
      <c r="E86" s="210">
        <v>172.83950617283949</v>
      </c>
      <c r="F86" s="210"/>
      <c r="G86" s="222"/>
      <c r="H86" s="221"/>
      <c r="I86" s="210"/>
      <c r="J86" s="222"/>
      <c r="K86" s="280"/>
      <c r="L86" s="218"/>
    </row>
    <row r="87" spans="2:12" ht="12" customHeight="1" x14ac:dyDescent="0.2">
      <c r="B87" s="219"/>
      <c r="C87" s="273"/>
      <c r="D87" s="225"/>
      <c r="E87" s="220">
        <v>0</v>
      </c>
      <c r="F87" s="210"/>
      <c r="G87" s="222"/>
      <c r="H87" s="221"/>
      <c r="I87" s="210"/>
      <c r="J87" s="222"/>
      <c r="K87" s="280"/>
      <c r="L87" s="218"/>
    </row>
    <row r="88" spans="2:12" ht="12" customHeight="1" x14ac:dyDescent="0.2">
      <c r="B88" s="219"/>
      <c r="C88" s="335" t="s">
        <v>179</v>
      </c>
      <c r="D88" s="225"/>
      <c r="E88" s="220">
        <v>0</v>
      </c>
      <c r="F88" s="210"/>
      <c r="G88" s="222"/>
      <c r="H88" s="237"/>
      <c r="I88" s="210"/>
      <c r="J88" s="222"/>
      <c r="K88" s="280"/>
      <c r="L88" s="218"/>
    </row>
    <row r="89" spans="2:12" ht="12" customHeight="1" x14ac:dyDescent="0.2">
      <c r="B89" s="219" t="s">
        <v>178</v>
      </c>
      <c r="C89" s="283" t="s">
        <v>178</v>
      </c>
      <c r="D89" s="225"/>
      <c r="E89" s="210">
        <v>0</v>
      </c>
      <c r="F89" s="210"/>
      <c r="G89" s="222"/>
      <c r="H89" s="221"/>
      <c r="I89" s="210"/>
      <c r="J89" s="222"/>
      <c r="K89" s="280"/>
      <c r="L89" s="218"/>
    </row>
    <row r="90" spans="2:12" ht="12" customHeight="1" x14ac:dyDescent="0.2">
      <c r="B90" s="226">
        <v>2430048</v>
      </c>
      <c r="C90" s="279" t="s">
        <v>18</v>
      </c>
      <c r="D90" s="225">
        <v>1</v>
      </c>
      <c r="E90" s="210">
        <v>145.06172839506172</v>
      </c>
      <c r="F90" s="210"/>
      <c r="G90" s="222"/>
      <c r="H90" s="221"/>
      <c r="I90" s="210"/>
      <c r="J90" s="222"/>
      <c r="K90" s="280"/>
      <c r="L90" s="218"/>
    </row>
    <row r="91" spans="2:12" ht="12" customHeight="1" x14ac:dyDescent="0.2">
      <c r="B91" s="292" t="s">
        <v>562</v>
      </c>
      <c r="C91" s="279" t="s">
        <v>563</v>
      </c>
      <c r="D91" s="225">
        <v>1</v>
      </c>
      <c r="E91" s="210">
        <v>72.716049382716037</v>
      </c>
      <c r="F91" s="210"/>
      <c r="G91" s="222"/>
      <c r="H91" s="221"/>
      <c r="I91" s="210"/>
      <c r="J91" s="222"/>
      <c r="K91" s="280"/>
      <c r="L91" s="218"/>
    </row>
    <row r="92" spans="2:12" ht="12" customHeight="1" x14ac:dyDescent="0.2">
      <c r="B92" s="292" t="s">
        <v>621</v>
      </c>
      <c r="C92" s="279" t="s">
        <v>622</v>
      </c>
      <c r="D92" s="225">
        <v>1</v>
      </c>
      <c r="E92" s="210">
        <v>117.59259259259258</v>
      </c>
      <c r="F92" s="210"/>
      <c r="G92" s="222"/>
      <c r="H92" s="221"/>
      <c r="I92" s="210"/>
      <c r="J92" s="222"/>
      <c r="K92" s="280"/>
      <c r="L92" s="218"/>
    </row>
    <row r="93" spans="2:12" ht="12" customHeight="1" x14ac:dyDescent="0.2">
      <c r="B93" s="292" t="s">
        <v>623</v>
      </c>
      <c r="C93" s="279" t="s">
        <v>641</v>
      </c>
      <c r="D93" s="225">
        <v>1</v>
      </c>
      <c r="E93" s="210">
        <v>275.91358024691357</v>
      </c>
      <c r="F93" s="210"/>
      <c r="G93" s="222"/>
      <c r="H93" s="221"/>
      <c r="I93" s="210"/>
      <c r="J93" s="222"/>
      <c r="K93" s="280"/>
      <c r="L93" s="218"/>
    </row>
    <row r="94" spans="2:12" ht="12" customHeight="1" x14ac:dyDescent="0.2">
      <c r="B94" s="296" t="s">
        <v>342</v>
      </c>
      <c r="C94" s="279" t="s">
        <v>85</v>
      </c>
      <c r="D94" s="225">
        <v>1</v>
      </c>
      <c r="E94" s="210">
        <v>54.197530864197525</v>
      </c>
      <c r="F94" s="210"/>
      <c r="G94" s="222"/>
      <c r="H94" s="221"/>
      <c r="I94" s="210"/>
      <c r="J94" s="222"/>
      <c r="K94" s="280"/>
      <c r="L94" s="218"/>
    </row>
    <row r="95" spans="2:12" ht="12" customHeight="1" x14ac:dyDescent="0.2">
      <c r="B95" s="226" t="s">
        <v>324</v>
      </c>
      <c r="C95" s="279" t="s">
        <v>326</v>
      </c>
      <c r="D95" s="227">
        <v>1</v>
      </c>
      <c r="E95" s="210">
        <v>19.456790123456788</v>
      </c>
      <c r="F95" s="210"/>
      <c r="G95" s="222"/>
      <c r="H95" s="221"/>
      <c r="I95" s="210"/>
      <c r="J95" s="222"/>
      <c r="K95" s="280" t="s">
        <v>68</v>
      </c>
      <c r="L95" s="218"/>
    </row>
    <row r="96" spans="2:12" ht="12" customHeight="1" x14ac:dyDescent="0.2">
      <c r="B96" s="226" t="s">
        <v>325</v>
      </c>
      <c r="C96" s="279" t="s">
        <v>327</v>
      </c>
      <c r="D96" s="227">
        <v>1</v>
      </c>
      <c r="E96" s="210">
        <v>19.033950617283949</v>
      </c>
      <c r="F96" s="210"/>
      <c r="G96" s="222"/>
      <c r="H96" s="221"/>
      <c r="I96" s="210"/>
      <c r="J96" s="222"/>
      <c r="K96" s="280" t="s">
        <v>68</v>
      </c>
      <c r="L96" s="218"/>
    </row>
    <row r="97" spans="2:12" ht="12" customHeight="1" x14ac:dyDescent="0.2">
      <c r="B97" s="226" t="s">
        <v>515</v>
      </c>
      <c r="C97" s="279" t="s">
        <v>391</v>
      </c>
      <c r="D97" s="227">
        <v>1</v>
      </c>
      <c r="E97" s="210">
        <v>77.546333333333337</v>
      </c>
      <c r="F97" s="210"/>
      <c r="G97" s="222"/>
      <c r="H97" s="221"/>
      <c r="I97" s="210"/>
      <c r="J97" s="222"/>
      <c r="K97" s="280"/>
      <c r="L97" s="218"/>
    </row>
    <row r="98" spans="2:12" ht="12" customHeight="1" x14ac:dyDescent="0.2">
      <c r="B98" s="226" t="s">
        <v>243</v>
      </c>
      <c r="C98" s="279" t="s">
        <v>244</v>
      </c>
      <c r="D98" s="227">
        <v>4</v>
      </c>
      <c r="E98" s="210">
        <v>0</v>
      </c>
      <c r="F98" s="210"/>
      <c r="G98" s="222"/>
      <c r="H98" s="221"/>
      <c r="I98" s="210"/>
      <c r="J98" s="222"/>
      <c r="K98" s="280"/>
      <c r="L98" s="218"/>
    </row>
    <row r="99" spans="2:12" ht="12" customHeight="1" x14ac:dyDescent="0.2">
      <c r="B99" s="226">
        <v>3809917</v>
      </c>
      <c r="C99" s="279" t="s">
        <v>103</v>
      </c>
      <c r="D99" s="227">
        <v>1</v>
      </c>
      <c r="E99" s="210">
        <v>1.2222222222222221</v>
      </c>
      <c r="F99" s="210"/>
      <c r="G99" s="222"/>
      <c r="H99" s="221"/>
      <c r="I99" s="210"/>
      <c r="J99" s="222"/>
      <c r="K99" s="280"/>
      <c r="L99" s="218"/>
    </row>
    <row r="100" spans="2:12" ht="12" customHeight="1" x14ac:dyDescent="0.2">
      <c r="B100" s="219" t="s">
        <v>701</v>
      </c>
      <c r="C100" s="279" t="s">
        <v>689</v>
      </c>
      <c r="D100" s="225">
        <v>1</v>
      </c>
      <c r="E100" s="210">
        <v>0</v>
      </c>
      <c r="F100" s="210"/>
      <c r="G100" s="222"/>
      <c r="H100" s="221"/>
      <c r="I100" s="210"/>
      <c r="J100" s="222"/>
      <c r="K100" s="280"/>
      <c r="L100" s="218"/>
    </row>
    <row r="101" spans="2:12" ht="12" customHeight="1" x14ac:dyDescent="0.2">
      <c r="B101" s="226"/>
      <c r="C101" s="220"/>
      <c r="D101" s="225"/>
      <c r="E101" s="220">
        <v>0</v>
      </c>
      <c r="F101" s="210"/>
      <c r="G101" s="222"/>
      <c r="H101" s="237"/>
      <c r="I101" s="210"/>
      <c r="J101" s="222"/>
      <c r="K101" s="280"/>
      <c r="L101" s="218"/>
    </row>
    <row r="102" spans="2:12" ht="12" customHeight="1" x14ac:dyDescent="0.2">
      <c r="B102" s="219"/>
      <c r="C102" s="234" t="s">
        <v>695</v>
      </c>
      <c r="D102" s="225"/>
      <c r="E102" s="220">
        <v>0</v>
      </c>
      <c r="F102" s="210"/>
      <c r="G102" s="222"/>
      <c r="H102" s="237"/>
      <c r="I102" s="210"/>
      <c r="J102" s="222"/>
      <c r="K102" s="280"/>
      <c r="L102" s="218"/>
    </row>
    <row r="103" spans="2:12" ht="12" customHeight="1" x14ac:dyDescent="0.2">
      <c r="B103" s="219" t="s">
        <v>178</v>
      </c>
      <c r="C103" s="335" t="s">
        <v>178</v>
      </c>
      <c r="D103" s="225">
        <v>1</v>
      </c>
      <c r="E103" s="210">
        <v>0</v>
      </c>
      <c r="F103" s="210"/>
      <c r="G103" s="222"/>
      <c r="H103" s="221"/>
      <c r="I103" s="210"/>
      <c r="J103" s="222"/>
      <c r="K103" s="280"/>
      <c r="L103" s="218"/>
    </row>
    <row r="104" spans="2:12" ht="12" customHeight="1" x14ac:dyDescent="0.2">
      <c r="B104" s="219"/>
      <c r="C104" s="335" t="s">
        <v>708</v>
      </c>
      <c r="D104" s="225"/>
      <c r="E104" s="210">
        <v>0</v>
      </c>
      <c r="F104" s="210"/>
      <c r="G104" s="222"/>
      <c r="H104" s="221"/>
      <c r="I104" s="210"/>
      <c r="J104" s="222"/>
      <c r="K104" s="280"/>
      <c r="L104" s="218"/>
    </row>
    <row r="105" spans="2:12" ht="12" customHeight="1" x14ac:dyDescent="0.2">
      <c r="B105" s="267"/>
      <c r="C105" s="335" t="s">
        <v>707</v>
      </c>
      <c r="D105" s="225"/>
      <c r="E105" s="210">
        <v>0</v>
      </c>
      <c r="F105" s="210"/>
      <c r="G105" s="222"/>
      <c r="H105" s="221"/>
      <c r="I105" s="210"/>
      <c r="J105" s="222"/>
      <c r="K105" s="280"/>
      <c r="L105" s="218"/>
    </row>
    <row r="106" spans="2:12" ht="12" customHeight="1" x14ac:dyDescent="0.2">
      <c r="B106" s="219"/>
      <c r="C106" s="335" t="s">
        <v>696</v>
      </c>
      <c r="D106" s="225"/>
      <c r="E106" s="210">
        <v>0</v>
      </c>
      <c r="F106" s="210"/>
      <c r="G106" s="222"/>
      <c r="H106" s="221"/>
      <c r="I106" s="210"/>
      <c r="J106" s="222"/>
      <c r="K106" s="280"/>
      <c r="L106" s="218"/>
    </row>
    <row r="107" spans="2:12" ht="12" customHeight="1" x14ac:dyDescent="0.2">
      <c r="B107" s="345"/>
      <c r="C107" s="346" t="s">
        <v>706</v>
      </c>
      <c r="D107" s="225"/>
      <c r="E107" s="210">
        <v>0</v>
      </c>
      <c r="F107" s="210"/>
      <c r="G107" s="222"/>
      <c r="H107" s="221"/>
      <c r="I107" s="210"/>
      <c r="J107" s="222"/>
      <c r="K107" s="280"/>
      <c r="L107" s="218"/>
    </row>
    <row r="108" spans="2:12" ht="12" customHeight="1" x14ac:dyDescent="0.2">
      <c r="B108" s="345" t="s">
        <v>675</v>
      </c>
      <c r="C108" s="347" t="s">
        <v>676</v>
      </c>
      <c r="D108" s="225">
        <v>1</v>
      </c>
      <c r="E108" s="210">
        <v>529.62962962962956</v>
      </c>
      <c r="F108" s="210"/>
      <c r="G108" s="222"/>
      <c r="H108" s="221"/>
      <c r="I108" s="210"/>
      <c r="J108" s="222"/>
      <c r="K108" s="280"/>
      <c r="L108" s="218"/>
    </row>
    <row r="109" spans="2:12" ht="12" customHeight="1" x14ac:dyDescent="0.2">
      <c r="B109" s="345" t="s">
        <v>516</v>
      </c>
      <c r="C109" s="347" t="s">
        <v>343</v>
      </c>
      <c r="D109" s="225">
        <v>1</v>
      </c>
      <c r="E109" s="210">
        <v>49.469135802469133</v>
      </c>
      <c r="F109" s="210"/>
      <c r="G109" s="222"/>
      <c r="H109" s="221"/>
      <c r="I109" s="210"/>
      <c r="J109" s="222"/>
      <c r="K109" s="280"/>
      <c r="L109" s="218"/>
    </row>
    <row r="110" spans="2:12" ht="12" customHeight="1" x14ac:dyDescent="0.2">
      <c r="B110" s="345" t="s">
        <v>273</v>
      </c>
      <c r="C110" s="347" t="s">
        <v>274</v>
      </c>
      <c r="D110" s="225">
        <v>1</v>
      </c>
      <c r="E110" s="210">
        <v>2.6543209876543208</v>
      </c>
      <c r="F110" s="210"/>
      <c r="G110" s="222"/>
      <c r="H110" s="221"/>
      <c r="I110" s="210"/>
      <c r="J110" s="222"/>
      <c r="K110" s="280"/>
      <c r="L110" s="218"/>
    </row>
    <row r="111" spans="2:12" ht="12" customHeight="1" x14ac:dyDescent="0.2">
      <c r="B111" s="345"/>
      <c r="C111" s="346" t="s">
        <v>709</v>
      </c>
      <c r="D111" s="225"/>
      <c r="E111" s="210">
        <v>0</v>
      </c>
      <c r="F111" s="210"/>
      <c r="G111" s="222"/>
      <c r="H111" s="221"/>
      <c r="I111" s="210"/>
      <c r="J111" s="222"/>
      <c r="K111" s="280"/>
      <c r="L111" s="218"/>
    </row>
    <row r="112" spans="2:12" ht="12" customHeight="1" x14ac:dyDescent="0.2">
      <c r="B112" s="345" t="s">
        <v>677</v>
      </c>
      <c r="C112" s="347" t="s">
        <v>678</v>
      </c>
      <c r="D112" s="225">
        <v>1</v>
      </c>
      <c r="E112" s="210">
        <v>154.69135802469134</v>
      </c>
      <c r="F112" s="210"/>
      <c r="G112" s="222"/>
      <c r="H112" s="221"/>
      <c r="I112" s="210"/>
      <c r="J112" s="222"/>
      <c r="K112" s="280"/>
      <c r="L112" s="218"/>
    </row>
    <row r="113" spans="2:12" ht="12" customHeight="1" x14ac:dyDescent="0.2">
      <c r="B113" s="345" t="s">
        <v>516</v>
      </c>
      <c r="C113" s="347" t="s">
        <v>343</v>
      </c>
      <c r="D113" s="225">
        <v>1</v>
      </c>
      <c r="E113" s="210">
        <v>49.469135802469133</v>
      </c>
      <c r="F113" s="210"/>
      <c r="G113" s="222"/>
      <c r="H113" s="221"/>
      <c r="I113" s="348"/>
      <c r="J113" s="222"/>
      <c r="K113" s="280"/>
      <c r="L113" s="218"/>
    </row>
    <row r="114" spans="2:12" ht="12" customHeight="1" x14ac:dyDescent="0.2">
      <c r="B114" s="345" t="s">
        <v>273</v>
      </c>
      <c r="C114" s="347" t="s">
        <v>274</v>
      </c>
      <c r="D114" s="225">
        <v>1</v>
      </c>
      <c r="E114" s="210">
        <v>2.6543209876543208</v>
      </c>
      <c r="F114" s="210"/>
      <c r="G114" s="222"/>
      <c r="H114" s="221"/>
      <c r="I114" s="210"/>
      <c r="J114" s="222"/>
      <c r="K114" s="280"/>
      <c r="L114" s="218"/>
    </row>
    <row r="115" spans="2:12" ht="12" customHeight="1" x14ac:dyDescent="0.2">
      <c r="B115" s="345"/>
      <c r="C115" s="346" t="s">
        <v>696</v>
      </c>
      <c r="D115" s="225"/>
      <c r="E115" s="210">
        <v>0</v>
      </c>
      <c r="F115" s="210"/>
      <c r="G115" s="222"/>
      <c r="H115" s="221"/>
      <c r="I115" s="210"/>
      <c r="J115" s="222"/>
      <c r="K115" s="280"/>
      <c r="L115" s="218"/>
    </row>
    <row r="116" spans="2:12" ht="12" customHeight="1" x14ac:dyDescent="0.2">
      <c r="B116" s="345" t="s">
        <v>182</v>
      </c>
      <c r="C116" s="347" t="s">
        <v>232</v>
      </c>
      <c r="D116" s="225">
        <v>1</v>
      </c>
      <c r="E116" s="210">
        <v>900.92592592592587</v>
      </c>
      <c r="F116" s="210"/>
      <c r="G116" s="222"/>
      <c r="H116" s="221"/>
      <c r="I116" s="210"/>
      <c r="J116" s="222"/>
      <c r="K116" s="280"/>
      <c r="L116" s="218"/>
    </row>
    <row r="117" spans="2:12" ht="12" customHeight="1" x14ac:dyDescent="0.2">
      <c r="B117" s="345" t="s">
        <v>98</v>
      </c>
      <c r="C117" s="347" t="s">
        <v>99</v>
      </c>
      <c r="D117" s="225">
        <v>1</v>
      </c>
      <c r="E117" s="210">
        <v>51.320987654320987</v>
      </c>
      <c r="F117" s="210"/>
      <c r="G117" s="222"/>
      <c r="H117" s="221"/>
      <c r="I117" s="210"/>
      <c r="J117" s="222"/>
      <c r="K117" s="280"/>
      <c r="L117" s="218"/>
    </row>
    <row r="118" spans="2:12" ht="12" customHeight="1" x14ac:dyDescent="0.2">
      <c r="B118" s="345">
        <v>3810091</v>
      </c>
      <c r="C118" s="347" t="s">
        <v>105</v>
      </c>
      <c r="D118" s="225">
        <v>1</v>
      </c>
      <c r="E118" s="210">
        <v>0.56740740740740736</v>
      </c>
      <c r="F118" s="210"/>
      <c r="G118" s="222"/>
      <c r="H118" s="221"/>
      <c r="I118" s="210"/>
      <c r="J118" s="222"/>
      <c r="K118" s="280"/>
      <c r="L118" s="218"/>
    </row>
    <row r="119" spans="2:12" ht="12" customHeight="1" x14ac:dyDescent="0.2">
      <c r="B119" s="345" t="s">
        <v>116</v>
      </c>
      <c r="C119" s="347" t="s">
        <v>117</v>
      </c>
      <c r="D119" s="225">
        <v>1</v>
      </c>
      <c r="E119" s="210">
        <v>2.4691358024691357E-2</v>
      </c>
      <c r="F119" s="210"/>
      <c r="G119" s="222"/>
      <c r="H119" s="221"/>
      <c r="I119" s="210"/>
      <c r="J119" s="222"/>
      <c r="K119" s="280"/>
      <c r="L119" s="218"/>
    </row>
    <row r="120" spans="2:12" ht="12" customHeight="1" x14ac:dyDescent="0.2">
      <c r="B120" s="345" t="s">
        <v>273</v>
      </c>
      <c r="C120" s="347" t="s">
        <v>274</v>
      </c>
      <c r="D120" s="225">
        <v>1</v>
      </c>
      <c r="E120" s="210">
        <v>2.6543209876543208</v>
      </c>
      <c r="F120" s="210"/>
      <c r="G120" s="222"/>
      <c r="H120" s="221"/>
      <c r="I120" s="210"/>
      <c r="J120" s="222"/>
      <c r="K120" s="280"/>
      <c r="L120" s="218"/>
    </row>
    <row r="121" spans="2:12" ht="12" customHeight="1" x14ac:dyDescent="0.2">
      <c r="B121" s="345"/>
      <c r="C121" s="220"/>
      <c r="D121" s="225"/>
      <c r="E121" s="210">
        <v>0</v>
      </c>
      <c r="F121" s="210"/>
      <c r="G121" s="222"/>
      <c r="H121" s="221"/>
      <c r="I121" s="210"/>
      <c r="J121" s="222"/>
      <c r="K121" s="280"/>
      <c r="L121" s="218"/>
    </row>
    <row r="122" spans="2:12" ht="12" customHeight="1" x14ac:dyDescent="0.2">
      <c r="B122" s="349"/>
      <c r="C122" s="234" t="s">
        <v>195</v>
      </c>
      <c r="D122" s="225"/>
      <c r="E122" s="210">
        <v>0</v>
      </c>
      <c r="F122" s="210"/>
      <c r="G122" s="222"/>
      <c r="H122" s="343"/>
      <c r="I122" s="210"/>
      <c r="J122" s="222"/>
      <c r="K122" s="280"/>
      <c r="L122" s="218"/>
    </row>
    <row r="123" spans="2:12" ht="12" customHeight="1" x14ac:dyDescent="0.2">
      <c r="B123" s="219" t="s">
        <v>178</v>
      </c>
      <c r="C123" s="335" t="s">
        <v>178</v>
      </c>
      <c r="D123" s="225"/>
      <c r="E123" s="210">
        <v>0</v>
      </c>
      <c r="F123" s="210"/>
      <c r="G123" s="222"/>
      <c r="H123" s="343"/>
      <c r="I123" s="210"/>
      <c r="J123" s="222"/>
      <c r="K123" s="280"/>
      <c r="L123" s="218"/>
    </row>
    <row r="124" spans="2:12" ht="12" customHeight="1" x14ac:dyDescent="0.2">
      <c r="B124" s="247"/>
      <c r="C124" s="335" t="s">
        <v>783</v>
      </c>
      <c r="D124" s="225"/>
      <c r="E124" s="210">
        <v>0</v>
      </c>
      <c r="F124" s="210"/>
      <c r="G124" s="222"/>
      <c r="H124" s="343"/>
      <c r="I124" s="210"/>
      <c r="J124" s="222"/>
      <c r="K124" s="280"/>
      <c r="L124" s="218"/>
    </row>
    <row r="125" spans="2:12" ht="12" customHeight="1" x14ac:dyDescent="0.2">
      <c r="B125" s="247"/>
      <c r="C125" s="335" t="s">
        <v>784</v>
      </c>
      <c r="D125" s="225"/>
      <c r="E125" s="210">
        <v>0</v>
      </c>
      <c r="F125" s="210"/>
      <c r="G125" s="222"/>
      <c r="H125" s="343"/>
      <c r="I125" s="210"/>
      <c r="J125" s="222"/>
      <c r="K125" s="280"/>
      <c r="L125" s="218"/>
    </row>
    <row r="126" spans="2:12" ht="12" customHeight="1" x14ac:dyDescent="0.2">
      <c r="B126" s="247"/>
      <c r="C126" s="346" t="s">
        <v>783</v>
      </c>
      <c r="D126" s="225"/>
      <c r="E126" s="210">
        <v>0</v>
      </c>
      <c r="F126" s="210"/>
      <c r="G126" s="222"/>
      <c r="H126" s="343"/>
      <c r="I126" s="210"/>
      <c r="J126" s="222"/>
      <c r="K126" s="280"/>
      <c r="L126" s="218"/>
    </row>
    <row r="127" spans="2:12" ht="12" customHeight="1" x14ac:dyDescent="0.2">
      <c r="B127" s="350" t="s">
        <v>401</v>
      </c>
      <c r="C127" s="347" t="s">
        <v>402</v>
      </c>
      <c r="D127" s="225">
        <v>1</v>
      </c>
      <c r="E127" s="210">
        <v>9.9441358024691358</v>
      </c>
      <c r="F127" s="210"/>
      <c r="G127" s="222"/>
      <c r="H127" s="221"/>
      <c r="I127" s="210"/>
      <c r="J127" s="222"/>
      <c r="K127" s="280"/>
      <c r="L127" s="218"/>
    </row>
    <row r="128" spans="2:12" ht="12" customHeight="1" x14ac:dyDescent="0.2">
      <c r="B128" s="351" t="s">
        <v>444</v>
      </c>
      <c r="C128" s="347" t="s">
        <v>445</v>
      </c>
      <c r="D128" s="225">
        <v>1</v>
      </c>
      <c r="E128" s="210">
        <v>7.7530864197530862</v>
      </c>
      <c r="F128" s="210"/>
      <c r="G128" s="222"/>
      <c r="H128" s="221"/>
      <c r="I128" s="210"/>
      <c r="J128" s="222"/>
      <c r="K128" s="280"/>
      <c r="L128" s="218"/>
    </row>
    <row r="129" spans="2:12" ht="12" customHeight="1" x14ac:dyDescent="0.2">
      <c r="B129" s="351" t="s">
        <v>194</v>
      </c>
      <c r="C129" s="347" t="s">
        <v>196</v>
      </c>
      <c r="D129" s="225">
        <v>1</v>
      </c>
      <c r="E129" s="210">
        <v>18.160493827160494</v>
      </c>
      <c r="F129" s="210"/>
      <c r="G129" s="222"/>
      <c r="H129" s="221"/>
      <c r="I129" s="210"/>
      <c r="J129" s="222"/>
      <c r="K129" s="280"/>
      <c r="L129" s="218"/>
    </row>
    <row r="130" spans="2:12" ht="12" customHeight="1" x14ac:dyDescent="0.2">
      <c r="B130" s="351"/>
      <c r="C130" s="346" t="s">
        <v>784</v>
      </c>
      <c r="D130" s="225"/>
      <c r="E130" s="210">
        <v>0</v>
      </c>
      <c r="F130" s="210"/>
      <c r="G130" s="222"/>
      <c r="H130" s="221"/>
      <c r="I130" s="210"/>
      <c r="J130" s="222"/>
      <c r="K130" s="280"/>
      <c r="L130" s="218"/>
    </row>
    <row r="131" spans="2:12" ht="12" customHeight="1" x14ac:dyDescent="0.2">
      <c r="B131" s="351" t="s">
        <v>774</v>
      </c>
      <c r="C131" s="347" t="s">
        <v>413</v>
      </c>
      <c r="D131" s="225">
        <v>1</v>
      </c>
      <c r="E131" s="210">
        <v>24.567901234567898</v>
      </c>
      <c r="F131" s="210"/>
      <c r="G131" s="222"/>
      <c r="H131" s="221"/>
      <c r="I131" s="210"/>
      <c r="J131" s="222"/>
      <c r="K131" s="280"/>
      <c r="L131" s="218"/>
    </row>
    <row r="132" spans="2:12" ht="12" customHeight="1" x14ac:dyDescent="0.2">
      <c r="B132" s="351" t="s">
        <v>775</v>
      </c>
      <c r="C132" s="347" t="s">
        <v>362</v>
      </c>
      <c r="D132" s="225">
        <v>1</v>
      </c>
      <c r="E132" s="210">
        <v>9.2592592592592595</v>
      </c>
      <c r="F132" s="210"/>
      <c r="G132" s="222"/>
      <c r="H132" s="221"/>
      <c r="I132" s="210"/>
      <c r="J132" s="222"/>
      <c r="K132" s="280"/>
      <c r="L132" s="218"/>
    </row>
    <row r="133" spans="2:12" ht="12" customHeight="1" x14ac:dyDescent="0.2">
      <c r="B133" s="351" t="s">
        <v>777</v>
      </c>
      <c r="C133" s="347" t="s">
        <v>387</v>
      </c>
      <c r="D133" s="225">
        <v>1</v>
      </c>
      <c r="E133" s="210">
        <v>4.5802469135802468</v>
      </c>
      <c r="F133" s="210"/>
      <c r="G133" s="222"/>
      <c r="H133" s="221"/>
      <c r="I133" s="210"/>
      <c r="J133" s="222"/>
      <c r="K133" s="280"/>
      <c r="L133" s="218"/>
    </row>
    <row r="134" spans="2:12" ht="12" customHeight="1" x14ac:dyDescent="0.2">
      <c r="B134" s="219"/>
      <c r="C134" s="347"/>
      <c r="D134" s="225"/>
      <c r="E134" s="210">
        <v>0</v>
      </c>
      <c r="F134" s="210"/>
      <c r="G134" s="222"/>
      <c r="H134" s="343"/>
      <c r="I134" s="210"/>
      <c r="J134" s="222"/>
      <c r="K134" s="280"/>
      <c r="L134" s="218"/>
    </row>
    <row r="135" spans="2:12" ht="12" customHeight="1" x14ac:dyDescent="0.2">
      <c r="B135" s="219"/>
      <c r="C135" s="335" t="s">
        <v>67</v>
      </c>
      <c r="D135" s="225"/>
      <c r="E135" s="210">
        <v>0</v>
      </c>
      <c r="F135" s="210"/>
      <c r="G135" s="222"/>
      <c r="H135" s="343"/>
      <c r="I135" s="210"/>
      <c r="J135" s="222"/>
      <c r="K135" s="280"/>
      <c r="L135" s="218"/>
    </row>
    <row r="136" spans="2:12" ht="12" customHeight="1" x14ac:dyDescent="0.2">
      <c r="B136" s="219" t="s">
        <v>178</v>
      </c>
      <c r="C136" s="335" t="s">
        <v>178</v>
      </c>
      <c r="D136" s="225"/>
      <c r="E136" s="210">
        <v>0</v>
      </c>
      <c r="F136" s="210"/>
      <c r="G136" s="222"/>
      <c r="H136" s="343"/>
      <c r="I136" s="210"/>
      <c r="J136" s="222"/>
      <c r="K136" s="280"/>
      <c r="L136" s="218"/>
    </row>
    <row r="137" spans="2:12" ht="12" customHeight="1" x14ac:dyDescent="0.2">
      <c r="B137" s="219"/>
      <c r="C137" s="346" t="s">
        <v>67</v>
      </c>
      <c r="D137" s="225"/>
      <c r="E137" s="210">
        <v>0</v>
      </c>
      <c r="F137" s="210"/>
      <c r="G137" s="222"/>
      <c r="H137" s="343"/>
      <c r="I137" s="210"/>
      <c r="J137" s="222"/>
      <c r="K137" s="280"/>
      <c r="L137" s="218"/>
    </row>
    <row r="138" spans="2:12" ht="12" customHeight="1" x14ac:dyDescent="0.2">
      <c r="B138" s="219" t="s">
        <v>197</v>
      </c>
      <c r="C138" s="347" t="s">
        <v>198</v>
      </c>
      <c r="D138" s="225">
        <v>1</v>
      </c>
      <c r="E138" s="210">
        <v>17.209876543209873</v>
      </c>
      <c r="F138" s="210"/>
      <c r="G138" s="222"/>
      <c r="H138" s="221"/>
      <c r="I138" s="210"/>
      <c r="J138" s="222"/>
      <c r="K138" s="280"/>
      <c r="L138" s="218"/>
    </row>
    <row r="139" spans="2:12" ht="12" customHeight="1" x14ac:dyDescent="0.2">
      <c r="B139" s="219" t="s">
        <v>113</v>
      </c>
      <c r="C139" s="347" t="s">
        <v>424</v>
      </c>
      <c r="D139" s="225">
        <v>1</v>
      </c>
      <c r="E139" s="210">
        <v>19.012345679012345</v>
      </c>
      <c r="F139" s="210"/>
      <c r="G139" s="222"/>
      <c r="H139" s="221"/>
      <c r="I139" s="210"/>
      <c r="J139" s="222"/>
      <c r="K139" s="280"/>
      <c r="L139" s="218"/>
    </row>
    <row r="140" spans="2:12" ht="12" customHeight="1" x14ac:dyDescent="0.2">
      <c r="B140" s="219" t="s">
        <v>243</v>
      </c>
      <c r="C140" s="347" t="s">
        <v>244</v>
      </c>
      <c r="D140" s="225">
        <v>1</v>
      </c>
      <c r="E140" s="210">
        <v>0</v>
      </c>
      <c r="F140" s="210"/>
      <c r="G140" s="222"/>
      <c r="H140" s="221"/>
      <c r="I140" s="210"/>
      <c r="J140" s="222"/>
      <c r="K140" s="280"/>
      <c r="L140" s="218"/>
    </row>
    <row r="141" spans="2:12" ht="12" customHeight="1" x14ac:dyDescent="0.2">
      <c r="B141" s="219"/>
      <c r="C141" s="220"/>
      <c r="D141" s="225"/>
      <c r="E141" s="210">
        <v>0</v>
      </c>
      <c r="F141" s="210"/>
      <c r="G141" s="222"/>
      <c r="H141" s="343"/>
      <c r="I141" s="210"/>
      <c r="J141" s="222"/>
      <c r="K141" s="280"/>
      <c r="L141" s="218"/>
    </row>
    <row r="142" spans="2:12" ht="12" customHeight="1" x14ac:dyDescent="0.2">
      <c r="B142" s="219"/>
      <c r="C142" s="335" t="s">
        <v>199</v>
      </c>
      <c r="D142" s="225"/>
      <c r="E142" s="210">
        <v>0</v>
      </c>
      <c r="F142" s="210"/>
      <c r="G142" s="222"/>
      <c r="H142" s="343"/>
      <c r="I142" s="210"/>
      <c r="J142" s="222"/>
      <c r="K142" s="280"/>
      <c r="L142" s="218"/>
    </row>
    <row r="143" spans="2:12" ht="12" customHeight="1" x14ac:dyDescent="0.2">
      <c r="B143" s="219">
        <v>2686106</v>
      </c>
      <c r="C143" s="279" t="s">
        <v>37</v>
      </c>
      <c r="D143" s="225">
        <v>1</v>
      </c>
      <c r="E143" s="210">
        <v>5.5555555555555554</v>
      </c>
      <c r="F143" s="210"/>
      <c r="G143" s="222"/>
      <c r="H143" s="221"/>
      <c r="I143" s="210"/>
      <c r="J143" s="222"/>
      <c r="K143" s="280"/>
      <c r="L143" s="218"/>
    </row>
    <row r="144" spans="2:12" ht="12" customHeight="1" x14ac:dyDescent="0.2">
      <c r="B144" s="219" t="s">
        <v>375</v>
      </c>
      <c r="C144" s="279" t="s">
        <v>376</v>
      </c>
      <c r="D144" s="225">
        <v>1</v>
      </c>
      <c r="E144" s="210">
        <v>60.987654320987652</v>
      </c>
      <c r="F144" s="210"/>
      <c r="G144" s="222"/>
      <c r="H144" s="221"/>
      <c r="I144" s="210"/>
      <c r="J144" s="222"/>
      <c r="K144" s="280"/>
      <c r="L144" s="218"/>
    </row>
    <row r="145" spans="1:12" ht="12" customHeight="1" x14ac:dyDescent="0.2">
      <c r="B145" s="219" t="s">
        <v>217</v>
      </c>
      <c r="C145" s="279" t="s">
        <v>228</v>
      </c>
      <c r="D145" s="352" t="s">
        <v>205</v>
      </c>
      <c r="E145" s="210">
        <v>0.88174074074074071</v>
      </c>
      <c r="F145" s="210"/>
      <c r="G145" s="222"/>
      <c r="H145" s="221"/>
      <c r="I145" s="210"/>
      <c r="J145" s="222"/>
      <c r="K145" s="280"/>
      <c r="L145" s="218"/>
    </row>
    <row r="146" spans="1:12" ht="12" customHeight="1" x14ac:dyDescent="0.2">
      <c r="B146" s="219" t="s">
        <v>132</v>
      </c>
      <c r="C146" s="279" t="s">
        <v>236</v>
      </c>
      <c r="D146" s="227">
        <v>1</v>
      </c>
      <c r="E146" s="235">
        <v>35.987654320987652</v>
      </c>
      <c r="F146" s="235"/>
      <c r="G146" s="229"/>
      <c r="H146" s="221"/>
      <c r="I146" s="210"/>
      <c r="J146" s="222"/>
      <c r="K146" s="280"/>
      <c r="L146" s="218"/>
    </row>
    <row r="147" spans="1:12" ht="12" customHeight="1" x14ac:dyDescent="0.2">
      <c r="B147" s="219" t="s">
        <v>144</v>
      </c>
      <c r="C147" s="279" t="s">
        <v>145</v>
      </c>
      <c r="D147" s="352" t="s">
        <v>206</v>
      </c>
      <c r="E147" s="210">
        <v>78.197530864197532</v>
      </c>
      <c r="F147" s="210"/>
      <c r="G147" s="222"/>
      <c r="H147" s="221"/>
      <c r="I147" s="210"/>
      <c r="J147" s="222"/>
      <c r="K147" s="280"/>
      <c r="L147" s="218"/>
    </row>
    <row r="148" spans="1:12" ht="12" customHeight="1" x14ac:dyDescent="0.2">
      <c r="B148" s="226">
        <v>9824541</v>
      </c>
      <c r="C148" s="279" t="s">
        <v>159</v>
      </c>
      <c r="D148" s="352" t="s">
        <v>520</v>
      </c>
      <c r="E148" s="210">
        <v>1.2345679012345678E-2</v>
      </c>
      <c r="F148" s="210"/>
      <c r="G148" s="222"/>
      <c r="H148" s="221"/>
      <c r="I148" s="210"/>
      <c r="J148" s="222"/>
      <c r="K148" s="280"/>
      <c r="L148" s="218"/>
    </row>
    <row r="149" spans="1:12" ht="12" customHeight="1" x14ac:dyDescent="0.2">
      <c r="B149" s="219" t="s">
        <v>498</v>
      </c>
      <c r="C149" s="279" t="s">
        <v>499</v>
      </c>
      <c r="D149" s="353">
        <v>1</v>
      </c>
      <c r="E149" s="210">
        <v>9.1111111111111107</v>
      </c>
      <c r="F149" s="210"/>
      <c r="G149" s="222"/>
      <c r="H149" s="221"/>
      <c r="I149" s="210"/>
      <c r="J149" s="222"/>
      <c r="K149" s="280"/>
      <c r="L149" s="218"/>
    </row>
    <row r="150" spans="1:12" ht="12" customHeight="1" x14ac:dyDescent="0.2">
      <c r="B150" s="219" t="s">
        <v>138</v>
      </c>
      <c r="C150" s="279" t="s">
        <v>267</v>
      </c>
      <c r="D150" s="352" t="s">
        <v>206</v>
      </c>
      <c r="E150" s="210">
        <v>8.8395061728395063</v>
      </c>
      <c r="F150" s="210"/>
      <c r="G150" s="222"/>
      <c r="H150" s="221"/>
      <c r="I150" s="210"/>
      <c r="J150" s="222"/>
      <c r="K150" s="280"/>
      <c r="L150" s="218"/>
    </row>
    <row r="151" spans="1:12" ht="12" customHeight="1" x14ac:dyDescent="0.2">
      <c r="B151" s="219" t="s">
        <v>17</v>
      </c>
      <c r="C151" s="279" t="s">
        <v>126</v>
      </c>
      <c r="D151" s="352" t="s">
        <v>206</v>
      </c>
      <c r="E151" s="210">
        <v>8.6419753086419762E-2</v>
      </c>
      <c r="F151" s="210"/>
      <c r="G151" s="222"/>
      <c r="H151" s="221"/>
      <c r="I151" s="210"/>
      <c r="J151" s="222"/>
      <c r="K151" s="280"/>
      <c r="L151" s="218"/>
    </row>
    <row r="152" spans="1:12" ht="12" customHeight="1" x14ac:dyDescent="0.2">
      <c r="B152" s="219" t="s">
        <v>91</v>
      </c>
      <c r="C152" s="279" t="s">
        <v>92</v>
      </c>
      <c r="D152" s="352" t="s">
        <v>207</v>
      </c>
      <c r="E152" s="210">
        <v>0.67901234567901236</v>
      </c>
      <c r="F152" s="210"/>
      <c r="G152" s="222"/>
      <c r="H152" s="221"/>
      <c r="I152" s="210"/>
      <c r="J152" s="222"/>
      <c r="K152" s="280"/>
      <c r="L152" s="218"/>
    </row>
    <row r="153" spans="1:12" ht="12" customHeight="1" x14ac:dyDescent="0.2">
      <c r="B153" s="319" t="s">
        <v>602</v>
      </c>
      <c r="C153" s="278" t="s">
        <v>711</v>
      </c>
      <c r="D153" s="352" t="s">
        <v>713</v>
      </c>
      <c r="E153" s="210">
        <v>0</v>
      </c>
      <c r="F153" s="210"/>
      <c r="G153" s="222"/>
      <c r="H153" s="221"/>
      <c r="I153" s="210"/>
      <c r="J153" s="222"/>
      <c r="K153" s="280"/>
      <c r="L153" s="218"/>
    </row>
    <row r="154" spans="1:12" ht="12" customHeight="1" x14ac:dyDescent="0.2">
      <c r="B154" s="319" t="s">
        <v>592</v>
      </c>
      <c r="C154" s="278" t="s">
        <v>712</v>
      </c>
      <c r="D154" s="352" t="s">
        <v>713</v>
      </c>
      <c r="E154" s="210">
        <v>0</v>
      </c>
      <c r="F154" s="210"/>
      <c r="G154" s="222"/>
      <c r="H154" s="221"/>
      <c r="I154" s="210"/>
      <c r="J154" s="222"/>
      <c r="K154" s="280"/>
      <c r="L154" s="218"/>
    </row>
    <row r="155" spans="1:12" ht="12" customHeight="1" x14ac:dyDescent="0.2">
      <c r="B155" s="219" t="s">
        <v>151</v>
      </c>
      <c r="C155" s="279" t="s">
        <v>491</v>
      </c>
      <c r="D155" s="352" t="s">
        <v>511</v>
      </c>
      <c r="E155" s="210">
        <v>0.24691358024691357</v>
      </c>
      <c r="F155" s="210"/>
      <c r="G155" s="222"/>
      <c r="H155" s="221"/>
      <c r="I155" s="210"/>
      <c r="J155" s="222"/>
      <c r="K155" s="280"/>
      <c r="L155" s="218"/>
    </row>
    <row r="156" spans="1:12" ht="12" customHeight="1" x14ac:dyDescent="0.2">
      <c r="B156" s="219"/>
      <c r="C156" s="220"/>
      <c r="D156" s="352"/>
      <c r="E156" s="210">
        <v>0</v>
      </c>
      <c r="F156" s="210"/>
      <c r="G156" s="222"/>
      <c r="H156" s="343"/>
      <c r="I156" s="210"/>
      <c r="J156" s="222"/>
      <c r="K156" s="280"/>
      <c r="L156" s="218"/>
    </row>
    <row r="157" spans="1:12" ht="12" customHeight="1" x14ac:dyDescent="0.2">
      <c r="A157" s="193" t="s">
        <v>256</v>
      </c>
      <c r="B157" s="219"/>
      <c r="C157" s="335" t="s">
        <v>512</v>
      </c>
      <c r="D157" s="352"/>
      <c r="E157" s="210">
        <v>0</v>
      </c>
      <c r="F157" s="210"/>
      <c r="G157" s="222"/>
      <c r="H157" s="343"/>
      <c r="I157" s="210"/>
      <c r="J157" s="222"/>
      <c r="K157" s="280"/>
      <c r="L157" s="218"/>
    </row>
    <row r="158" spans="1:12" ht="12" customHeight="1" x14ac:dyDescent="0.2">
      <c r="B158" s="219"/>
      <c r="C158" s="335" t="s">
        <v>178</v>
      </c>
      <c r="D158" s="352"/>
      <c r="E158" s="210">
        <v>0</v>
      </c>
      <c r="F158" s="210"/>
      <c r="G158" s="222"/>
      <c r="H158" s="343"/>
      <c r="I158" s="210"/>
      <c r="J158" s="222"/>
      <c r="K158" s="280"/>
      <c r="L158" s="218"/>
    </row>
    <row r="159" spans="1:12" ht="12" customHeight="1" x14ac:dyDescent="0.2">
      <c r="A159" s="193" t="s">
        <v>257</v>
      </c>
      <c r="B159" s="219"/>
      <c r="C159" s="335" t="s">
        <v>698</v>
      </c>
      <c r="D159" s="352"/>
      <c r="E159" s="210">
        <v>0</v>
      </c>
      <c r="F159" s="210"/>
      <c r="G159" s="222"/>
      <c r="H159" s="343"/>
      <c r="I159" s="210"/>
      <c r="J159" s="222"/>
      <c r="K159" s="280"/>
      <c r="L159" s="218"/>
    </row>
    <row r="160" spans="1:12" ht="12" customHeight="1" x14ac:dyDescent="0.2">
      <c r="B160" s="219"/>
      <c r="C160" s="335" t="s">
        <v>665</v>
      </c>
      <c r="D160" s="352"/>
      <c r="E160" s="210">
        <v>0</v>
      </c>
      <c r="F160" s="210"/>
      <c r="G160" s="222"/>
      <c r="H160" s="343"/>
      <c r="I160" s="210"/>
      <c r="J160" s="222"/>
      <c r="K160" s="280"/>
      <c r="L160" s="218"/>
    </row>
    <row r="161" spans="1:12" ht="12" customHeight="1" x14ac:dyDescent="0.2">
      <c r="B161" s="219"/>
      <c r="C161" s="335" t="s">
        <v>697</v>
      </c>
      <c r="D161" s="352"/>
      <c r="E161" s="210">
        <v>0</v>
      </c>
      <c r="F161" s="210"/>
      <c r="G161" s="222"/>
      <c r="H161" s="343"/>
      <c r="I161" s="210"/>
      <c r="J161" s="222"/>
      <c r="K161" s="280"/>
      <c r="L161" s="218"/>
    </row>
    <row r="162" spans="1:12" ht="12" customHeight="1" x14ac:dyDescent="0.2">
      <c r="B162" s="219" t="s">
        <v>496</v>
      </c>
      <c r="C162" s="279" t="s">
        <v>497</v>
      </c>
      <c r="D162" s="225">
        <v>1</v>
      </c>
      <c r="E162" s="210">
        <v>18.624691358024691</v>
      </c>
      <c r="F162" s="210"/>
      <c r="G162" s="222"/>
      <c r="H162" s="221"/>
      <c r="I162" s="210"/>
      <c r="J162" s="222"/>
      <c r="K162" s="280"/>
      <c r="L162" s="218"/>
    </row>
    <row r="163" spans="1:12" ht="12" customHeight="1" x14ac:dyDescent="0.2">
      <c r="B163" s="349" t="s">
        <v>500</v>
      </c>
      <c r="C163" s="347" t="s">
        <v>517</v>
      </c>
      <c r="D163" s="225">
        <v>1</v>
      </c>
      <c r="E163" s="210">
        <v>3.0123456790123453</v>
      </c>
      <c r="F163" s="210"/>
      <c r="G163" s="222"/>
      <c r="H163" s="221"/>
      <c r="I163" s="210"/>
      <c r="J163" s="222"/>
      <c r="K163" s="280"/>
      <c r="L163" s="218"/>
    </row>
    <row r="164" spans="1:12" ht="12" customHeight="1" x14ac:dyDescent="0.2">
      <c r="B164" s="349" t="s">
        <v>395</v>
      </c>
      <c r="C164" s="347" t="s">
        <v>396</v>
      </c>
      <c r="D164" s="353">
        <v>0.1</v>
      </c>
      <c r="E164" s="210">
        <v>89.320987654320973</v>
      </c>
      <c r="F164" s="210"/>
      <c r="G164" s="222"/>
      <c r="H164" s="221"/>
      <c r="I164" s="210"/>
      <c r="J164" s="222"/>
      <c r="K164" s="280"/>
      <c r="L164" s="218"/>
    </row>
    <row r="165" spans="1:12" ht="12" customHeight="1" x14ac:dyDescent="0.2">
      <c r="B165" s="219" t="s">
        <v>660</v>
      </c>
      <c r="C165" s="279" t="s">
        <v>661</v>
      </c>
      <c r="D165" s="225">
        <v>1</v>
      </c>
      <c r="E165" s="210">
        <v>31.271604938271601</v>
      </c>
      <c r="F165" s="210"/>
      <c r="G165" s="222"/>
      <c r="H165" s="221"/>
      <c r="I165" s="210"/>
      <c r="J165" s="222"/>
      <c r="K165" s="280"/>
      <c r="L165" s="218"/>
    </row>
    <row r="166" spans="1:12" ht="12" customHeight="1" x14ac:dyDescent="0.2">
      <c r="B166" s="349" t="s">
        <v>500</v>
      </c>
      <c r="C166" s="347" t="s">
        <v>517</v>
      </c>
      <c r="D166" s="225">
        <v>1</v>
      </c>
      <c r="E166" s="210">
        <v>3.0123456790123453</v>
      </c>
      <c r="F166" s="210"/>
      <c r="G166" s="222"/>
      <c r="H166" s="221"/>
      <c r="I166" s="210"/>
      <c r="J166" s="222"/>
      <c r="K166" s="280"/>
      <c r="L166" s="218"/>
    </row>
    <row r="167" spans="1:12" ht="12" customHeight="1" x14ac:dyDescent="0.2">
      <c r="B167" s="349" t="s">
        <v>395</v>
      </c>
      <c r="C167" s="347" t="s">
        <v>396</v>
      </c>
      <c r="D167" s="353">
        <v>0.1</v>
      </c>
      <c r="E167" s="210">
        <v>89.320987654320973</v>
      </c>
      <c r="F167" s="210"/>
      <c r="G167" s="222"/>
      <c r="H167" s="221"/>
      <c r="I167" s="210"/>
      <c r="J167" s="222"/>
      <c r="K167" s="280"/>
      <c r="L167" s="218"/>
    </row>
    <row r="168" spans="1:12" ht="12" customHeight="1" x14ac:dyDescent="0.2">
      <c r="B168" s="267" t="s">
        <v>679</v>
      </c>
      <c r="C168" s="279" t="s">
        <v>680</v>
      </c>
      <c r="D168" s="225">
        <v>1</v>
      </c>
      <c r="E168" s="210">
        <v>45.663580246913575</v>
      </c>
      <c r="F168" s="210"/>
      <c r="G168" s="222"/>
      <c r="H168" s="221"/>
      <c r="I168" s="210"/>
      <c r="J168" s="222"/>
      <c r="K168" s="280"/>
      <c r="L168" s="218"/>
    </row>
    <row r="169" spans="1:12" ht="12" customHeight="1" x14ac:dyDescent="0.2">
      <c r="B169" s="349" t="s">
        <v>500</v>
      </c>
      <c r="C169" s="347" t="s">
        <v>517</v>
      </c>
      <c r="D169" s="225">
        <v>1</v>
      </c>
      <c r="E169" s="210">
        <v>3.0123456790123453</v>
      </c>
      <c r="F169" s="210"/>
      <c r="G169" s="222"/>
      <c r="H169" s="221"/>
      <c r="I169" s="210"/>
      <c r="J169" s="222"/>
      <c r="K169" s="280"/>
      <c r="L169" s="218"/>
    </row>
    <row r="170" spans="1:12" ht="12" customHeight="1" x14ac:dyDescent="0.2">
      <c r="B170" s="349" t="s">
        <v>395</v>
      </c>
      <c r="C170" s="347" t="s">
        <v>396</v>
      </c>
      <c r="D170" s="353">
        <v>0.1</v>
      </c>
      <c r="E170" s="210">
        <v>89.320987654320973</v>
      </c>
      <c r="F170" s="210"/>
      <c r="G170" s="222"/>
      <c r="H170" s="221"/>
      <c r="I170" s="210"/>
      <c r="J170" s="222"/>
      <c r="K170" s="280"/>
      <c r="L170" s="218"/>
    </row>
    <row r="171" spans="1:12" ht="12" customHeight="1" x14ac:dyDescent="0.2">
      <c r="B171" s="219" t="s">
        <v>699</v>
      </c>
      <c r="C171" s="279" t="s">
        <v>700</v>
      </c>
      <c r="D171" s="353">
        <v>1</v>
      </c>
      <c r="E171" s="210">
        <v>23.020580246913578</v>
      </c>
      <c r="F171" s="210"/>
      <c r="G171" s="222"/>
      <c r="H171" s="221"/>
      <c r="I171" s="210"/>
      <c r="J171" s="222"/>
      <c r="K171" s="280"/>
      <c r="L171" s="218"/>
    </row>
    <row r="172" spans="1:12" ht="12" customHeight="1" x14ac:dyDescent="0.2">
      <c r="B172" s="219"/>
      <c r="C172" s="220"/>
      <c r="D172" s="352"/>
      <c r="E172" s="210">
        <v>0</v>
      </c>
      <c r="F172" s="210"/>
      <c r="G172" s="222"/>
      <c r="H172" s="343"/>
      <c r="I172" s="210"/>
      <c r="J172" s="222"/>
      <c r="K172" s="280"/>
      <c r="L172" s="218"/>
    </row>
    <row r="173" spans="1:12" ht="12" customHeight="1" x14ac:dyDescent="0.2">
      <c r="A173" s="193" t="s">
        <v>256</v>
      </c>
      <c r="B173" s="219"/>
      <c r="C173" s="335" t="s">
        <v>276</v>
      </c>
      <c r="D173" s="352"/>
      <c r="E173" s="210">
        <v>0</v>
      </c>
      <c r="F173" s="210"/>
      <c r="G173" s="222"/>
      <c r="H173" s="343"/>
      <c r="I173" s="210"/>
      <c r="J173" s="222"/>
      <c r="K173" s="280"/>
      <c r="L173" s="218"/>
    </row>
    <row r="174" spans="1:12" ht="12" customHeight="1" x14ac:dyDescent="0.2">
      <c r="A174" s="193" t="s">
        <v>257</v>
      </c>
      <c r="B174" s="219" t="s">
        <v>260</v>
      </c>
      <c r="C174" s="279" t="s">
        <v>261</v>
      </c>
      <c r="D174" s="353">
        <v>1</v>
      </c>
      <c r="E174" s="210">
        <v>2.9012345679012346</v>
      </c>
      <c r="F174" s="210"/>
      <c r="G174" s="222"/>
      <c r="H174" s="221"/>
      <c r="I174" s="210"/>
      <c r="J174" s="222"/>
      <c r="K174" s="280"/>
      <c r="L174" s="218"/>
    </row>
    <row r="175" spans="1:12" ht="12" customHeight="1" x14ac:dyDescent="0.2">
      <c r="B175" s="219"/>
      <c r="C175" s="220"/>
      <c r="D175" s="352"/>
      <c r="E175" s="210">
        <v>0</v>
      </c>
      <c r="F175" s="210"/>
      <c r="G175" s="222"/>
      <c r="H175" s="343"/>
      <c r="I175" s="210"/>
      <c r="J175" s="222"/>
      <c r="K175" s="280"/>
      <c r="L175" s="218"/>
    </row>
    <row r="176" spans="1:12" ht="12" customHeight="1" x14ac:dyDescent="0.2">
      <c r="B176" s="219"/>
      <c r="C176" s="335" t="s">
        <v>180</v>
      </c>
      <c r="D176" s="225"/>
      <c r="E176" s="220">
        <v>0</v>
      </c>
      <c r="F176" s="210"/>
      <c r="G176" s="222"/>
      <c r="H176" s="237"/>
      <c r="I176" s="210"/>
      <c r="J176" s="222"/>
      <c r="K176" s="280"/>
      <c r="L176" s="218"/>
    </row>
    <row r="177" spans="1:12" ht="12" customHeight="1" x14ac:dyDescent="0.2">
      <c r="B177" s="219" t="s">
        <v>178</v>
      </c>
      <c r="C177" s="283" t="s">
        <v>178</v>
      </c>
      <c r="D177" s="225">
        <v>0</v>
      </c>
      <c r="E177" s="210">
        <v>0</v>
      </c>
      <c r="F177" s="210"/>
      <c r="G177" s="222"/>
      <c r="H177" s="221"/>
      <c r="I177" s="210"/>
      <c r="J177" s="222"/>
      <c r="K177" s="354">
        <v>0</v>
      </c>
      <c r="L177" s="218"/>
    </row>
    <row r="178" spans="1:12" ht="12" customHeight="1" x14ac:dyDescent="0.2">
      <c r="A178" s="193">
        <v>0</v>
      </c>
      <c r="B178" s="219">
        <v>9990544</v>
      </c>
      <c r="C178" s="279" t="s">
        <v>251</v>
      </c>
      <c r="D178" s="225">
        <v>1</v>
      </c>
      <c r="E178" s="210">
        <v>0</v>
      </c>
      <c r="F178" s="210"/>
      <c r="G178" s="222"/>
      <c r="H178" s="221"/>
      <c r="I178" s="210"/>
      <c r="J178" s="222"/>
      <c r="K178" s="354">
        <v>10</v>
      </c>
      <c r="L178" s="218"/>
    </row>
    <row r="179" spans="1:12" ht="12" customHeight="1" x14ac:dyDescent="0.2">
      <c r="A179" s="280" t="s">
        <v>68</v>
      </c>
      <c r="B179" s="219" t="s">
        <v>485</v>
      </c>
      <c r="C179" s="279" t="s">
        <v>486</v>
      </c>
      <c r="D179" s="225">
        <v>1</v>
      </c>
      <c r="E179" s="210">
        <v>154.32098765432099</v>
      </c>
      <c r="F179" s="210"/>
      <c r="G179" s="222"/>
      <c r="H179" s="221"/>
      <c r="I179" s="210"/>
      <c r="J179" s="222"/>
      <c r="K179" s="280" t="s">
        <v>68</v>
      </c>
      <c r="L179" s="218"/>
    </row>
    <row r="180" spans="1:12" ht="12" customHeight="1" x14ac:dyDescent="0.2">
      <c r="B180" s="219" t="s">
        <v>776</v>
      </c>
      <c r="C180" s="279" t="s">
        <v>785</v>
      </c>
      <c r="D180" s="353">
        <v>1</v>
      </c>
      <c r="E180" s="210">
        <v>175.30864197530863</v>
      </c>
      <c r="F180" s="210"/>
      <c r="G180" s="222"/>
      <c r="H180" s="221"/>
      <c r="I180" s="210"/>
      <c r="J180" s="222"/>
      <c r="K180" s="280" t="s">
        <v>68</v>
      </c>
      <c r="L180" s="218"/>
    </row>
    <row r="181" spans="1:12" ht="12" customHeight="1" x14ac:dyDescent="0.2">
      <c r="A181" s="193">
        <v>10</v>
      </c>
      <c r="B181" s="219">
        <v>6506327</v>
      </c>
      <c r="C181" s="279" t="s">
        <v>335</v>
      </c>
      <c r="D181" s="225">
        <v>1</v>
      </c>
      <c r="E181" s="210">
        <v>123.45679012345678</v>
      </c>
      <c r="F181" s="210"/>
      <c r="G181" s="222"/>
      <c r="H181" s="221"/>
      <c r="I181" s="210"/>
      <c r="J181" s="222"/>
      <c r="K181" s="280"/>
      <c r="L181" s="218"/>
    </row>
    <row r="182" spans="1:12" ht="12" customHeight="1" x14ac:dyDescent="0.2">
      <c r="B182" s="355"/>
      <c r="C182" s="238"/>
      <c r="D182" s="225"/>
      <c r="E182" s="210">
        <v>0</v>
      </c>
      <c r="F182" s="210"/>
      <c r="G182" s="222"/>
      <c r="H182" s="221"/>
      <c r="I182" s="222"/>
      <c r="J182" s="222"/>
      <c r="K182" s="280"/>
    </row>
    <row r="183" spans="1:12" ht="12" customHeight="1" x14ac:dyDescent="0.2">
      <c r="B183" s="355"/>
      <c r="C183" s="335" t="s">
        <v>397</v>
      </c>
      <c r="D183" s="225"/>
      <c r="E183" s="210">
        <v>0</v>
      </c>
      <c r="F183" s="210"/>
      <c r="G183" s="222"/>
      <c r="H183" s="221"/>
      <c r="I183" s="222"/>
      <c r="J183" s="222"/>
      <c r="K183" s="280"/>
    </row>
    <row r="184" spans="1:12" ht="12" customHeight="1" x14ac:dyDescent="0.2">
      <c r="A184" s="193" t="s">
        <v>522</v>
      </c>
      <c r="B184" s="219" t="s">
        <v>750</v>
      </c>
      <c r="C184" s="279" t="s">
        <v>751</v>
      </c>
      <c r="D184" s="225">
        <v>1</v>
      </c>
      <c r="E184" s="210">
        <v>0</v>
      </c>
      <c r="F184" s="210"/>
      <c r="G184" s="222"/>
      <c r="H184" s="221"/>
      <c r="I184" s="210"/>
      <c r="J184" s="222"/>
      <c r="K184" s="280"/>
    </row>
    <row r="185" spans="1:12" ht="12" customHeight="1" x14ac:dyDescent="0.2">
      <c r="A185" s="193" t="s">
        <v>521</v>
      </c>
      <c r="B185" s="219" t="s">
        <v>752</v>
      </c>
      <c r="C185" s="279" t="s">
        <v>778</v>
      </c>
      <c r="D185" s="225">
        <v>1</v>
      </c>
      <c r="E185" s="210">
        <v>0</v>
      </c>
      <c r="F185" s="210"/>
      <c r="G185" s="222"/>
      <c r="H185" s="221"/>
      <c r="I185" s="210"/>
      <c r="J185" s="222"/>
      <c r="K185" s="280"/>
    </row>
    <row r="186" spans="1:12" ht="12" customHeight="1" x14ac:dyDescent="0.2">
      <c r="B186" s="356"/>
      <c r="C186" s="206"/>
      <c r="D186" s="225"/>
      <c r="E186" s="210"/>
      <c r="F186" s="210"/>
      <c r="G186" s="222"/>
      <c r="H186" s="343"/>
      <c r="I186" s="222"/>
      <c r="J186" s="222"/>
      <c r="K186" s="280"/>
    </row>
    <row r="187" spans="1:12" ht="12" customHeight="1" x14ac:dyDescent="0.2">
      <c r="B187" s="357"/>
      <c r="C187" s="335" t="s">
        <v>2</v>
      </c>
      <c r="D187" s="237"/>
      <c r="E187" s="238"/>
      <c r="F187" s="238"/>
      <c r="G187" s="222"/>
      <c r="H187" s="237"/>
      <c r="I187" s="238"/>
      <c r="J187" s="238"/>
      <c r="K187" s="358"/>
    </row>
    <row r="188" spans="1:12" ht="12" customHeight="1" x14ac:dyDescent="0.2">
      <c r="B188" s="359">
        <v>136</v>
      </c>
      <c r="C188" s="279" t="s">
        <v>79</v>
      </c>
      <c r="D188" s="237">
        <v>1</v>
      </c>
      <c r="E188" s="239">
        <v>0</v>
      </c>
      <c r="F188" s="238"/>
      <c r="G188" s="240"/>
      <c r="H188" s="221"/>
      <c r="I188" s="238"/>
      <c r="J188" s="238"/>
      <c r="K188" s="358"/>
    </row>
    <row r="189" spans="1:12" ht="12" customHeight="1" x14ac:dyDescent="0.2">
      <c r="B189" s="360">
        <v>148</v>
      </c>
      <c r="C189" s="279" t="s">
        <v>80</v>
      </c>
      <c r="D189" s="237">
        <v>1</v>
      </c>
      <c r="E189" s="239">
        <v>0.05</v>
      </c>
      <c r="F189" s="238"/>
      <c r="G189" s="240"/>
      <c r="H189" s="221"/>
      <c r="I189" s="238"/>
      <c r="J189" s="238"/>
      <c r="K189" s="358"/>
    </row>
    <row r="190" spans="1:12" ht="12" customHeight="1" x14ac:dyDescent="0.2">
      <c r="B190" s="360">
        <v>160</v>
      </c>
      <c r="C190" s="279" t="s">
        <v>81</v>
      </c>
      <c r="D190" s="237">
        <v>1</v>
      </c>
      <c r="E190" s="239">
        <v>0.10249999999999999</v>
      </c>
      <c r="F190" s="238"/>
      <c r="G190" s="240"/>
      <c r="H190" s="221"/>
      <c r="I190" s="238"/>
      <c r="J190" s="238"/>
      <c r="K190" s="358"/>
    </row>
    <row r="191" spans="1:12" ht="12" customHeight="1" x14ac:dyDescent="0.2">
      <c r="B191" s="360" t="s">
        <v>24</v>
      </c>
      <c r="C191" s="279" t="s">
        <v>106</v>
      </c>
      <c r="D191" s="237">
        <v>1</v>
      </c>
      <c r="E191" s="239">
        <v>0.02</v>
      </c>
      <c r="F191" s="238"/>
      <c r="G191" s="240"/>
      <c r="H191" s="221"/>
      <c r="I191" s="238"/>
      <c r="J191" s="238"/>
      <c r="K191" s="358"/>
    </row>
    <row r="192" spans="1:12" ht="12" customHeight="1" x14ac:dyDescent="0.2">
      <c r="B192" s="360" t="s">
        <v>25</v>
      </c>
      <c r="C192" s="279" t="s">
        <v>32</v>
      </c>
      <c r="D192" s="237">
        <v>1</v>
      </c>
      <c r="E192" s="239">
        <v>0.10299999999999999</v>
      </c>
      <c r="F192" s="238"/>
      <c r="G192" s="240"/>
      <c r="H192" s="221"/>
      <c r="I192" s="238"/>
      <c r="J192" s="238"/>
      <c r="K192" s="358"/>
    </row>
    <row r="193" spans="2:11" ht="12" customHeight="1" x14ac:dyDescent="0.2">
      <c r="B193" s="360" t="s">
        <v>26</v>
      </c>
      <c r="C193" s="279" t="s">
        <v>172</v>
      </c>
      <c r="D193" s="237">
        <v>1</v>
      </c>
      <c r="E193" s="239">
        <v>0.193</v>
      </c>
      <c r="F193" s="238"/>
      <c r="G193" s="240"/>
      <c r="H193" s="221"/>
      <c r="I193" s="238"/>
      <c r="J193" s="238"/>
      <c r="K193" s="358"/>
    </row>
    <row r="194" spans="2:11" ht="12" customHeight="1" x14ac:dyDescent="0.2">
      <c r="B194" s="360" t="s">
        <v>27</v>
      </c>
      <c r="C194" s="279" t="s">
        <v>30</v>
      </c>
      <c r="D194" s="237">
        <v>1</v>
      </c>
      <c r="E194" s="239">
        <v>0.14419999999999999</v>
      </c>
      <c r="F194" s="238"/>
      <c r="G194" s="240"/>
      <c r="H194" s="221"/>
      <c r="I194" s="238"/>
      <c r="J194" s="238"/>
      <c r="K194" s="358"/>
    </row>
    <row r="195" spans="2:11" ht="12" customHeight="1" x14ac:dyDescent="0.2">
      <c r="B195" s="360" t="s">
        <v>28</v>
      </c>
      <c r="C195" s="279" t="s">
        <v>31</v>
      </c>
      <c r="D195" s="237">
        <v>1</v>
      </c>
      <c r="E195" s="239">
        <v>0.27250000000000002</v>
      </c>
      <c r="F195" s="238"/>
      <c r="G195" s="240"/>
      <c r="H195" s="221"/>
      <c r="I195" s="238"/>
      <c r="J195" s="238"/>
      <c r="K195" s="358"/>
    </row>
    <row r="196" spans="2:11" ht="12" customHeight="1" x14ac:dyDescent="0.2">
      <c r="B196" s="360" t="s">
        <v>190</v>
      </c>
      <c r="C196" s="361" t="s">
        <v>191</v>
      </c>
      <c r="D196" s="362">
        <v>1</v>
      </c>
      <c r="E196" s="363">
        <v>0.41799999999999998</v>
      </c>
      <c r="F196" s="364"/>
      <c r="G196" s="365"/>
      <c r="H196" s="366"/>
      <c r="I196" s="364"/>
      <c r="J196" s="364"/>
      <c r="K196" s="367"/>
    </row>
    <row r="197" spans="2:11" x14ac:dyDescent="0.2">
      <c r="B197" s="241"/>
      <c r="C197" s="238"/>
      <c r="D197" s="237"/>
      <c r="E197" s="238"/>
      <c r="F197" s="238"/>
      <c r="G197" s="222"/>
      <c r="H197" s="237"/>
      <c r="I197" s="238"/>
      <c r="J197" s="238"/>
      <c r="K197" s="238"/>
    </row>
    <row r="198" spans="2:11" x14ac:dyDescent="0.2">
      <c r="B198" s="241"/>
      <c r="C198" s="238"/>
      <c r="D198" s="237"/>
      <c r="E198" s="238"/>
      <c r="F198" s="238"/>
      <c r="G198" s="222"/>
      <c r="H198" s="237"/>
      <c r="I198" s="238"/>
      <c r="J198" s="238"/>
      <c r="K198" s="238"/>
    </row>
    <row r="199" spans="2:11" x14ac:dyDescent="0.2">
      <c r="B199" s="241"/>
      <c r="C199" s="238"/>
      <c r="D199" s="237"/>
      <c r="E199" s="238"/>
      <c r="F199" s="238"/>
      <c r="G199" s="222"/>
      <c r="H199" s="237"/>
      <c r="I199" s="238"/>
      <c r="J199" s="238"/>
      <c r="K199" s="238"/>
    </row>
    <row r="200" spans="2:11" x14ac:dyDescent="0.2">
      <c r="B200" s="241"/>
      <c r="C200" s="238"/>
      <c r="D200" s="237"/>
      <c r="E200" s="238"/>
      <c r="F200" s="238"/>
      <c r="G200" s="222"/>
      <c r="H200" s="237"/>
      <c r="I200" s="238"/>
      <c r="J200" s="238"/>
      <c r="K200" s="238"/>
    </row>
    <row r="201" spans="2:11" x14ac:dyDescent="0.2">
      <c r="B201" s="241"/>
      <c r="C201" s="238"/>
      <c r="D201" s="237"/>
      <c r="E201" s="238"/>
      <c r="F201" s="238"/>
      <c r="G201" s="222"/>
      <c r="H201" s="237"/>
      <c r="I201" s="238"/>
      <c r="J201" s="238"/>
      <c r="K201" s="238"/>
    </row>
    <row r="202" spans="2:11" x14ac:dyDescent="0.2">
      <c r="B202" s="241"/>
      <c r="C202" s="238"/>
      <c r="D202" s="237"/>
      <c r="E202" s="238"/>
      <c r="F202" s="238"/>
      <c r="G202" s="222"/>
      <c r="H202" s="237"/>
      <c r="I202" s="238"/>
      <c r="J202" s="238"/>
      <c r="K202" s="238"/>
    </row>
  </sheetData>
  <sheetProtection algorithmName="SHA-512" hashValue="BYsbkMy0bsHcRLblap0e3yl2IHHiKctVHdBcvjKtQLsI6h7akoX9i3XPbYIHAvb4VCp+UD2VbMdqm7DB6pEwgg==" saltValue="F37XVdhiyublCQNFB1x75Q==" spinCount="100000" sheet="1" objects="1" scenarios="1" selectLockedCells="1"/>
  <conditionalFormatting sqref="H1:H2 H4:H24 H27:H30 H37 H55:H77 H101:H112 H115:H130 H87:H90 H81:H82 H84:H85 H94:H99 H134:H161 H172:H179 H186:H1048576 H181:H183">
    <cfRule type="cellIs" dxfId="419" priority="116" operator="lessThan">
      <formula>-0.04</formula>
    </cfRule>
    <cfRule type="cellIs" dxfId="418" priority="117" operator="greaterThan">
      <formula>0.04</formula>
    </cfRule>
  </conditionalFormatting>
  <conditionalFormatting sqref="J1:J2 J4:J24 J27:J30 J37 J53:J77 J101:J112 J115:J130 J87:J90 J81:J82 J84:J85 J94:J99 J134:J161 J172:J179 J186:J1048576 J181:J183">
    <cfRule type="cellIs" dxfId="417" priority="109" operator="greaterThan">
      <formula>0.01</formula>
    </cfRule>
    <cfRule type="cellIs" dxfId="416" priority="110" operator="lessThan">
      <formula>-0.01</formula>
    </cfRule>
  </conditionalFormatting>
  <conditionalFormatting sqref="H26">
    <cfRule type="cellIs" dxfId="415" priority="107" operator="lessThan">
      <formula>-0.04</formula>
    </cfRule>
    <cfRule type="cellIs" dxfId="414" priority="108" operator="greaterThan">
      <formula>0.04</formula>
    </cfRule>
  </conditionalFormatting>
  <conditionalFormatting sqref="J26">
    <cfRule type="cellIs" dxfId="413" priority="105" operator="greaterThan">
      <formula>0.01</formula>
    </cfRule>
    <cfRule type="cellIs" dxfId="412" priority="106" operator="lessThan">
      <formula>-0.01</formula>
    </cfRule>
  </conditionalFormatting>
  <conditionalFormatting sqref="H38:H39 H52">
    <cfRule type="cellIs" dxfId="411" priority="103" operator="lessThan">
      <formula>-0.04</formula>
    </cfRule>
    <cfRule type="cellIs" dxfId="410" priority="104" operator="greaterThan">
      <formula>0.04</formula>
    </cfRule>
  </conditionalFormatting>
  <conditionalFormatting sqref="J38:J39 J52">
    <cfRule type="cellIs" dxfId="409" priority="101" operator="greaterThan">
      <formula>0.01</formula>
    </cfRule>
    <cfRule type="cellIs" dxfId="408" priority="102" operator="lessThan">
      <formula>-0.01</formula>
    </cfRule>
  </conditionalFormatting>
  <conditionalFormatting sqref="H40:H51">
    <cfRule type="cellIs" dxfId="407" priority="99" operator="lessThan">
      <formula>-0.04</formula>
    </cfRule>
    <cfRule type="cellIs" dxfId="406" priority="100" operator="greaterThan">
      <formula>0.04</formula>
    </cfRule>
  </conditionalFormatting>
  <conditionalFormatting sqref="J40:J51">
    <cfRule type="cellIs" dxfId="405" priority="97" operator="greaterThan">
      <formula>0.01</formula>
    </cfRule>
    <cfRule type="cellIs" dxfId="404" priority="98" operator="lessThan">
      <formula>-0.01</formula>
    </cfRule>
  </conditionalFormatting>
  <conditionalFormatting sqref="H162 H166:H167">
    <cfRule type="cellIs" dxfId="403" priority="95" operator="lessThan">
      <formula>-0.04</formula>
    </cfRule>
    <cfRule type="cellIs" dxfId="402" priority="96" operator="greaterThan">
      <formula>0.04</formula>
    </cfRule>
  </conditionalFormatting>
  <conditionalFormatting sqref="J162 J166:J167">
    <cfRule type="cellIs" dxfId="401" priority="93" operator="greaterThan">
      <formula>0.01</formula>
    </cfRule>
    <cfRule type="cellIs" dxfId="400" priority="94" operator="lessThan">
      <formula>-0.01</formula>
    </cfRule>
  </conditionalFormatting>
  <conditionalFormatting sqref="H91:H93">
    <cfRule type="cellIs" dxfId="399" priority="91" operator="lessThan">
      <formula>-0.04</formula>
    </cfRule>
    <cfRule type="cellIs" dxfId="398" priority="92" operator="greaterThan">
      <formula>0.04</formula>
    </cfRule>
  </conditionalFormatting>
  <conditionalFormatting sqref="J91:J93">
    <cfRule type="cellIs" dxfId="397" priority="89" operator="greaterThan">
      <formula>0.01</formula>
    </cfRule>
    <cfRule type="cellIs" dxfId="396" priority="90" operator="lessThan">
      <formula>-0.01</formula>
    </cfRule>
  </conditionalFormatting>
  <conditionalFormatting sqref="H165">
    <cfRule type="cellIs" dxfId="395" priority="87" operator="lessThan">
      <formula>-0.04</formula>
    </cfRule>
    <cfRule type="cellIs" dxfId="394" priority="88" operator="greaterThan">
      <formula>0.04</formula>
    </cfRule>
  </conditionalFormatting>
  <conditionalFormatting sqref="J165">
    <cfRule type="cellIs" dxfId="393" priority="85" operator="greaterThan">
      <formula>0.01</formula>
    </cfRule>
    <cfRule type="cellIs" dxfId="392" priority="86" operator="lessThan">
      <formula>-0.01</formula>
    </cfRule>
  </conditionalFormatting>
  <conditionalFormatting sqref="H163:H164">
    <cfRule type="cellIs" dxfId="391" priority="83" operator="lessThan">
      <formula>-0.04</formula>
    </cfRule>
    <cfRule type="cellIs" dxfId="390" priority="84" operator="greaterThan">
      <formula>0.04</formula>
    </cfRule>
  </conditionalFormatting>
  <conditionalFormatting sqref="J163:J164">
    <cfRule type="cellIs" dxfId="389" priority="81" operator="greaterThan">
      <formula>0.01</formula>
    </cfRule>
    <cfRule type="cellIs" dxfId="388" priority="82" operator="lessThan">
      <formula>-0.01</formula>
    </cfRule>
  </conditionalFormatting>
  <conditionalFormatting sqref="H25">
    <cfRule type="cellIs" dxfId="387" priority="79" operator="lessThan">
      <formula>-0.04</formula>
    </cfRule>
    <cfRule type="cellIs" dxfId="386" priority="80" operator="greaterThan">
      <formula>0.04</formula>
    </cfRule>
  </conditionalFormatting>
  <conditionalFormatting sqref="J25">
    <cfRule type="cellIs" dxfId="385" priority="77" operator="greaterThan">
      <formula>0.01</formula>
    </cfRule>
    <cfRule type="cellIs" dxfId="384" priority="78" operator="lessThan">
      <formula>-0.01</formula>
    </cfRule>
  </conditionalFormatting>
  <conditionalFormatting sqref="H113:H114">
    <cfRule type="cellIs" dxfId="383" priority="71" operator="lessThan">
      <formula>-0.04</formula>
    </cfRule>
    <cfRule type="cellIs" dxfId="382" priority="72" operator="greaterThan">
      <formula>0.04</formula>
    </cfRule>
  </conditionalFormatting>
  <conditionalFormatting sqref="J113:J114">
    <cfRule type="cellIs" dxfId="381" priority="69" operator="greaterThan">
      <formula>0.01</formula>
    </cfRule>
    <cfRule type="cellIs" dxfId="380" priority="70" operator="lessThan">
      <formula>-0.01</formula>
    </cfRule>
  </conditionalFormatting>
  <conditionalFormatting sqref="H169:H170">
    <cfRule type="cellIs" dxfId="379" priority="67" operator="lessThan">
      <formula>-0.04</formula>
    </cfRule>
    <cfRule type="cellIs" dxfId="378" priority="68" operator="greaterThan">
      <formula>0.04</formula>
    </cfRule>
  </conditionalFormatting>
  <conditionalFormatting sqref="J169:J170">
    <cfRule type="cellIs" dxfId="377" priority="65" operator="greaterThan">
      <formula>0.01</formula>
    </cfRule>
    <cfRule type="cellIs" dxfId="376" priority="66" operator="lessThan">
      <formula>-0.01</formula>
    </cfRule>
  </conditionalFormatting>
  <conditionalFormatting sqref="H168">
    <cfRule type="cellIs" dxfId="375" priority="63" operator="lessThan">
      <formula>-0.04</formula>
    </cfRule>
    <cfRule type="cellIs" dxfId="374" priority="64" operator="greaterThan">
      <formula>0.04</formula>
    </cfRule>
  </conditionalFormatting>
  <conditionalFormatting sqref="J168">
    <cfRule type="cellIs" dxfId="373" priority="61" operator="greaterThan">
      <formula>0.01</formula>
    </cfRule>
    <cfRule type="cellIs" dxfId="372" priority="62" operator="lessThan">
      <formula>-0.01</formula>
    </cfRule>
  </conditionalFormatting>
  <conditionalFormatting sqref="H31:H36">
    <cfRule type="cellIs" dxfId="371" priority="55" operator="lessThan">
      <formula>-0.04</formula>
    </cfRule>
    <cfRule type="cellIs" dxfId="370" priority="56" operator="greaterThan">
      <formula>0.04</formula>
    </cfRule>
  </conditionalFormatting>
  <conditionalFormatting sqref="J31:J36">
    <cfRule type="cellIs" dxfId="369" priority="53" operator="greaterThan">
      <formula>0.01</formula>
    </cfRule>
    <cfRule type="cellIs" dxfId="368" priority="54" operator="lessThan">
      <formula>-0.01</formula>
    </cfRule>
  </conditionalFormatting>
  <conditionalFormatting sqref="H100">
    <cfRule type="cellIs" dxfId="367" priority="51" operator="lessThan">
      <formula>-0.04</formula>
    </cfRule>
    <cfRule type="cellIs" dxfId="366" priority="52" operator="greaterThan">
      <formula>0.04</formula>
    </cfRule>
  </conditionalFormatting>
  <conditionalFormatting sqref="J100">
    <cfRule type="cellIs" dxfId="365" priority="49" operator="greaterThan">
      <formula>0.01</formula>
    </cfRule>
    <cfRule type="cellIs" dxfId="364" priority="50" operator="lessThan">
      <formula>-0.01</formula>
    </cfRule>
  </conditionalFormatting>
  <conditionalFormatting sqref="H171">
    <cfRule type="cellIs" dxfId="363" priority="39" operator="lessThan">
      <formula>-0.04</formula>
    </cfRule>
    <cfRule type="cellIs" dxfId="362" priority="40" operator="greaterThan">
      <formula>0.04</formula>
    </cfRule>
  </conditionalFormatting>
  <conditionalFormatting sqref="J171">
    <cfRule type="cellIs" dxfId="361" priority="37" operator="greaterThan">
      <formula>0.01</formula>
    </cfRule>
    <cfRule type="cellIs" dxfId="360" priority="38" operator="lessThan">
      <formula>-0.01</formula>
    </cfRule>
  </conditionalFormatting>
  <conditionalFormatting sqref="H86">
    <cfRule type="cellIs" dxfId="359" priority="35" operator="lessThan">
      <formula>-0.04</formula>
    </cfRule>
    <cfRule type="cellIs" dxfId="358" priority="36" operator="greaterThan">
      <formula>0.04</formula>
    </cfRule>
  </conditionalFormatting>
  <conditionalFormatting sqref="J86">
    <cfRule type="cellIs" dxfId="357" priority="33" operator="greaterThan">
      <formula>0.01</formula>
    </cfRule>
    <cfRule type="cellIs" dxfId="356" priority="34" operator="lessThan">
      <formula>-0.01</formula>
    </cfRule>
  </conditionalFormatting>
  <conditionalFormatting sqref="H78:H80">
    <cfRule type="cellIs" dxfId="355" priority="31" operator="lessThan">
      <formula>-0.04</formula>
    </cfRule>
    <cfRule type="cellIs" dxfId="354" priority="32" operator="greaterThan">
      <formula>0.04</formula>
    </cfRule>
  </conditionalFormatting>
  <conditionalFormatting sqref="J78:J80">
    <cfRule type="cellIs" dxfId="353" priority="29" operator="greaterThan">
      <formula>0.01</formula>
    </cfRule>
    <cfRule type="cellIs" dxfId="352" priority="30" operator="lessThan">
      <formula>-0.01</formula>
    </cfRule>
  </conditionalFormatting>
  <conditionalFormatting sqref="H83">
    <cfRule type="cellIs" dxfId="351" priority="27" operator="lessThan">
      <formula>-0.04</formula>
    </cfRule>
    <cfRule type="cellIs" dxfId="350" priority="28" operator="greaterThan">
      <formula>0.04</formula>
    </cfRule>
  </conditionalFormatting>
  <conditionalFormatting sqref="J83">
    <cfRule type="cellIs" dxfId="349" priority="25" operator="greaterThan">
      <formula>0.01</formula>
    </cfRule>
    <cfRule type="cellIs" dxfId="348" priority="26" operator="lessThan">
      <formula>-0.01</formula>
    </cfRule>
  </conditionalFormatting>
  <conditionalFormatting sqref="H131:H133">
    <cfRule type="cellIs" dxfId="347" priority="23" operator="lessThan">
      <formula>-0.04</formula>
    </cfRule>
    <cfRule type="cellIs" dxfId="346" priority="24" operator="greaterThan">
      <formula>0.04</formula>
    </cfRule>
  </conditionalFormatting>
  <conditionalFormatting sqref="J131:J133">
    <cfRule type="cellIs" dxfId="345" priority="21" operator="greaterThan">
      <formula>0.01</formula>
    </cfRule>
    <cfRule type="cellIs" dxfId="344" priority="22" operator="lessThan">
      <formula>-0.01</formula>
    </cfRule>
  </conditionalFormatting>
  <conditionalFormatting sqref="H185">
    <cfRule type="cellIs" dxfId="343" priority="3" operator="lessThan">
      <formula>-0.04</formula>
    </cfRule>
    <cfRule type="cellIs" dxfId="342" priority="4" operator="greaterThan">
      <formula>0.04</formula>
    </cfRule>
  </conditionalFormatting>
  <conditionalFormatting sqref="J185">
    <cfRule type="cellIs" dxfId="341" priority="1" operator="greaterThan">
      <formula>0.01</formula>
    </cfRule>
    <cfRule type="cellIs" dxfId="340" priority="2" operator="lessThan">
      <formula>-0.01</formula>
    </cfRule>
  </conditionalFormatting>
  <conditionalFormatting sqref="H180">
    <cfRule type="cellIs" dxfId="339" priority="15" operator="lessThan">
      <formula>-0.04</formula>
    </cfRule>
    <cfRule type="cellIs" dxfId="338" priority="16" operator="greaterThan">
      <formula>0.04</formula>
    </cfRule>
  </conditionalFormatting>
  <conditionalFormatting sqref="J180">
    <cfRule type="cellIs" dxfId="337" priority="13" operator="greaterThan">
      <formula>0.01</formula>
    </cfRule>
    <cfRule type="cellIs" dxfId="336" priority="14" operator="lessThan">
      <formula>-0.01</formula>
    </cfRule>
  </conditionalFormatting>
  <conditionalFormatting sqref="H184">
    <cfRule type="cellIs" dxfId="335" priority="11" operator="lessThan">
      <formula>-0.04</formula>
    </cfRule>
    <cfRule type="cellIs" dxfId="334" priority="12" operator="greaterThan">
      <formula>0.04</formula>
    </cfRule>
  </conditionalFormatting>
  <conditionalFormatting sqref="J184">
    <cfRule type="cellIs" dxfId="333" priority="9" operator="greaterThan">
      <formula>0.01</formula>
    </cfRule>
    <cfRule type="cellIs" dxfId="332" priority="10" operator="lessThan">
      <formula>-0.01</formula>
    </cfRule>
  </conditionalFormatting>
  <pageMargins left="0.17" right="0.19685039370078741" top="0.15748031496062992" bottom="0.19685039370078741" header="0.31496062992125984" footer="0.31496062992125984"/>
  <pageSetup paperSize="9" scale="63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186"/>
  <sheetViews>
    <sheetView view="pageBreakPreview" zoomScaleNormal="100" zoomScaleSheetLayoutView="100" workbookViewId="0">
      <pane ySplit="3" topLeftCell="A4" activePane="bottomLeft" state="frozen"/>
      <selection activeCell="G2" sqref="G2:L2"/>
      <selection pane="bottomLeft" activeCell="G2" sqref="G2:L2"/>
    </sheetView>
  </sheetViews>
  <sheetFormatPr baseColWidth="10" defaultColWidth="11.42578125" defaultRowHeight="12.75" x14ac:dyDescent="0.2"/>
  <cols>
    <col min="1" max="1" width="14.140625" style="193" bestFit="1" customWidth="1"/>
    <col min="2" max="2" width="24.28515625" style="242" bestFit="1" customWidth="1"/>
    <col min="3" max="3" width="67.140625" style="193" customWidth="1"/>
    <col min="4" max="4" width="8.140625" style="197" bestFit="1" customWidth="1"/>
    <col min="5" max="5" width="21.85546875" style="304" customWidth="1"/>
    <col min="6" max="6" width="11.5703125" style="197" customWidth="1"/>
    <col min="7" max="7" width="16.28515625" style="197" customWidth="1"/>
    <col min="8" max="8" width="16.28515625" style="244" customWidth="1"/>
    <col min="9" max="11" width="16.28515625" style="197" customWidth="1"/>
    <col min="12" max="16384" width="11.42578125" style="193"/>
  </cols>
  <sheetData>
    <row r="1" spans="2:11" ht="23.45" customHeight="1" x14ac:dyDescent="0.2">
      <c r="B1" s="194" t="s">
        <v>808</v>
      </c>
      <c r="C1" s="195" t="s">
        <v>580</v>
      </c>
      <c r="D1" s="195"/>
      <c r="E1" s="308" t="s">
        <v>773</v>
      </c>
      <c r="G1" s="200"/>
      <c r="H1" s="199"/>
      <c r="I1" s="200"/>
      <c r="J1" s="200"/>
      <c r="K1" s="200"/>
    </row>
    <row r="2" spans="2:11" ht="45.6" customHeight="1" x14ac:dyDescent="0.2">
      <c r="B2" s="201" t="s">
        <v>176</v>
      </c>
      <c r="C2" s="202" t="s">
        <v>579</v>
      </c>
      <c r="D2" s="203"/>
      <c r="E2" s="203"/>
      <c r="F2" s="203"/>
      <c r="G2" s="206"/>
      <c r="H2" s="205"/>
      <c r="I2" s="206"/>
      <c r="J2" s="206"/>
      <c r="K2" s="206"/>
    </row>
    <row r="3" spans="2:11" s="207" customFormat="1" ht="12" x14ac:dyDescent="0.25">
      <c r="B3" s="208" t="s">
        <v>0</v>
      </c>
      <c r="C3" s="209" t="s">
        <v>5</v>
      </c>
      <c r="D3" s="209" t="s">
        <v>181</v>
      </c>
      <c r="E3" s="309" t="s">
        <v>456</v>
      </c>
      <c r="F3" s="209"/>
      <c r="G3" s="245"/>
      <c r="H3" s="245"/>
      <c r="I3" s="209"/>
      <c r="J3" s="209"/>
      <c r="K3" s="209"/>
    </row>
    <row r="4" spans="2:11" s="218" customFormat="1" ht="12" customHeight="1" x14ac:dyDescent="0.2">
      <c r="B4" s="224"/>
      <c r="C4" s="213" t="s">
        <v>185</v>
      </c>
      <c r="D4" s="220"/>
      <c r="E4" s="303"/>
      <c r="F4" s="220"/>
      <c r="G4" s="222"/>
      <c r="H4" s="215"/>
      <c r="I4" s="210"/>
      <c r="J4" s="222"/>
      <c r="K4" s="222"/>
    </row>
    <row r="5" spans="2:11" s="218" customFormat="1" ht="12" customHeight="1" x14ac:dyDescent="0.2">
      <c r="B5" s="267" t="s">
        <v>480</v>
      </c>
      <c r="C5" s="288" t="s">
        <v>639</v>
      </c>
      <c r="D5" s="288">
        <v>1</v>
      </c>
      <c r="E5" s="266">
        <v>229.44444444444443</v>
      </c>
      <c r="F5" s="210"/>
      <c r="G5" s="222"/>
      <c r="H5" s="221"/>
      <c r="I5" s="210"/>
      <c r="J5" s="229"/>
      <c r="K5" s="222"/>
    </row>
    <row r="6" spans="2:11" s="218" customFormat="1" ht="12" customHeight="1" x14ac:dyDescent="0.2">
      <c r="B6" s="267" t="s">
        <v>481</v>
      </c>
      <c r="C6" s="288" t="s">
        <v>640</v>
      </c>
      <c r="D6" s="288">
        <v>1</v>
      </c>
      <c r="E6" s="266">
        <v>96.728395061728378</v>
      </c>
      <c r="F6" s="210"/>
      <c r="G6" s="222"/>
      <c r="H6" s="221"/>
      <c r="I6" s="210"/>
      <c r="J6" s="222"/>
      <c r="K6" s="222"/>
    </row>
    <row r="7" spans="2:11" s="218" customFormat="1" ht="12" customHeight="1" x14ac:dyDescent="0.2">
      <c r="B7" s="267" t="s">
        <v>666</v>
      </c>
      <c r="C7" s="288" t="s">
        <v>684</v>
      </c>
      <c r="D7" s="288">
        <v>1</v>
      </c>
      <c r="E7" s="266">
        <v>10.172839506172838</v>
      </c>
      <c r="F7" s="210"/>
      <c r="G7" s="222"/>
      <c r="H7" s="221"/>
      <c r="I7" s="210"/>
      <c r="J7" s="222"/>
      <c r="K7" s="222"/>
    </row>
    <row r="8" spans="2:11" s="218" customFormat="1" ht="12" customHeight="1" x14ac:dyDescent="0.2">
      <c r="B8" s="267" t="s">
        <v>482</v>
      </c>
      <c r="C8" s="288" t="s">
        <v>619</v>
      </c>
      <c r="D8" s="310" t="s">
        <v>771</v>
      </c>
      <c r="E8" s="266">
        <v>6.7283950617283947</v>
      </c>
      <c r="F8" s="210"/>
      <c r="G8" s="222"/>
      <c r="H8" s="221"/>
      <c r="I8" s="210"/>
      <c r="J8" s="222"/>
      <c r="K8" s="222"/>
    </row>
    <row r="9" spans="2:11" s="218" customFormat="1" ht="12" customHeight="1" x14ac:dyDescent="0.2">
      <c r="B9" s="267" t="s">
        <v>447</v>
      </c>
      <c r="C9" s="288" t="s">
        <v>448</v>
      </c>
      <c r="D9" s="265">
        <v>1</v>
      </c>
      <c r="E9" s="266">
        <v>159.50617283950615</v>
      </c>
      <c r="F9" s="210"/>
      <c r="G9" s="222"/>
      <c r="H9" s="221"/>
      <c r="I9" s="210"/>
      <c r="J9" s="222"/>
      <c r="K9" s="222"/>
    </row>
    <row r="10" spans="2:11" s="218" customFormat="1" ht="12" customHeight="1" x14ac:dyDescent="0.2">
      <c r="B10" s="267" t="s">
        <v>576</v>
      </c>
      <c r="C10" s="288" t="s">
        <v>581</v>
      </c>
      <c r="D10" s="288">
        <v>1</v>
      </c>
      <c r="E10" s="266">
        <v>30.679012345679013</v>
      </c>
      <c r="F10" s="210"/>
      <c r="G10" s="222"/>
      <c r="H10" s="221"/>
      <c r="I10" s="210"/>
      <c r="J10" s="222"/>
      <c r="K10" s="222"/>
    </row>
    <row r="11" spans="2:11" s="218" customFormat="1" ht="12" customHeight="1" x14ac:dyDescent="0.2">
      <c r="B11" s="311">
        <v>9827071</v>
      </c>
      <c r="C11" s="288" t="s">
        <v>646</v>
      </c>
      <c r="D11" s="288">
        <v>1</v>
      </c>
      <c r="E11" s="266">
        <v>5.5555555555555554</v>
      </c>
      <c r="F11" s="210"/>
      <c r="G11" s="222"/>
      <c r="H11" s="221"/>
      <c r="I11" s="210"/>
      <c r="J11" s="222"/>
      <c r="K11" s="222"/>
    </row>
    <row r="12" spans="2:11" s="218" customFormat="1" ht="12" customHeight="1" x14ac:dyDescent="0.2">
      <c r="B12" s="311" t="s">
        <v>275</v>
      </c>
      <c r="C12" s="288" t="s">
        <v>64</v>
      </c>
      <c r="D12" s="288">
        <v>2</v>
      </c>
      <c r="E12" s="266">
        <v>4.7901234567901234</v>
      </c>
      <c r="F12" s="210"/>
      <c r="G12" s="222"/>
      <c r="H12" s="221"/>
      <c r="I12" s="210"/>
      <c r="J12" s="222"/>
      <c r="K12" s="222"/>
    </row>
    <row r="13" spans="2:11" s="218" customFormat="1" ht="12" customHeight="1" x14ac:dyDescent="0.2">
      <c r="B13" s="311">
        <v>2090064</v>
      </c>
      <c r="C13" s="288" t="s">
        <v>8</v>
      </c>
      <c r="D13" s="288">
        <v>1</v>
      </c>
      <c r="E13" s="266">
        <v>0.8271604938271605</v>
      </c>
      <c r="F13" s="210"/>
      <c r="G13" s="222"/>
      <c r="H13" s="221"/>
      <c r="I13" s="210"/>
      <c r="J13" s="222"/>
      <c r="K13" s="222"/>
    </row>
    <row r="14" spans="2:11" s="218" customFormat="1" ht="12" customHeight="1" x14ac:dyDescent="0.2">
      <c r="B14" s="311" t="s">
        <v>118</v>
      </c>
      <c r="C14" s="288" t="s">
        <v>119</v>
      </c>
      <c r="D14" s="288">
        <v>1</v>
      </c>
      <c r="E14" s="266">
        <v>0</v>
      </c>
      <c r="F14" s="210"/>
      <c r="G14" s="222"/>
      <c r="H14" s="221"/>
      <c r="I14" s="210"/>
      <c r="J14" s="222"/>
      <c r="K14" s="222"/>
    </row>
    <row r="15" spans="2:11" s="218" customFormat="1" ht="12" customHeight="1" x14ac:dyDescent="0.2">
      <c r="B15" s="267" t="s">
        <v>582</v>
      </c>
      <c r="C15" s="288" t="s">
        <v>583</v>
      </c>
      <c r="D15" s="265">
        <v>1</v>
      </c>
      <c r="E15" s="266">
        <v>0.33333333333333331</v>
      </c>
      <c r="F15" s="210"/>
      <c r="G15" s="222"/>
      <c r="H15" s="221"/>
      <c r="I15" s="210"/>
      <c r="J15" s="222"/>
      <c r="K15" s="222"/>
    </row>
    <row r="16" spans="2:11" s="218" customFormat="1" ht="12" customHeight="1" x14ac:dyDescent="0.2">
      <c r="B16" s="267" t="s">
        <v>36</v>
      </c>
      <c r="C16" s="288" t="s">
        <v>43</v>
      </c>
      <c r="D16" s="265">
        <v>1</v>
      </c>
      <c r="E16" s="266">
        <v>16.123456790123456</v>
      </c>
      <c r="F16" s="210"/>
      <c r="G16" s="222"/>
      <c r="H16" s="221"/>
      <c r="I16" s="210"/>
      <c r="J16" s="222"/>
      <c r="K16" s="222"/>
    </row>
    <row r="17" spans="2:11" s="218" customFormat="1" ht="12" customHeight="1" x14ac:dyDescent="0.2">
      <c r="B17" s="267" t="s">
        <v>116</v>
      </c>
      <c r="C17" s="288" t="s">
        <v>117</v>
      </c>
      <c r="D17" s="288">
        <v>8</v>
      </c>
      <c r="E17" s="266">
        <v>2.4691358024691357E-2</v>
      </c>
      <c r="F17" s="210"/>
      <c r="G17" s="222"/>
      <c r="H17" s="221"/>
      <c r="I17" s="210"/>
      <c r="J17" s="222"/>
      <c r="K17" s="222"/>
    </row>
    <row r="18" spans="2:11" s="218" customFormat="1" ht="12" customHeight="1" x14ac:dyDescent="0.2">
      <c r="B18" s="267" t="s">
        <v>584</v>
      </c>
      <c r="C18" s="288" t="s">
        <v>585</v>
      </c>
      <c r="D18" s="310" t="s">
        <v>649</v>
      </c>
      <c r="E18" s="266">
        <v>1.0246913580246912</v>
      </c>
      <c r="F18" s="210"/>
      <c r="G18" s="222"/>
      <c r="H18" s="221"/>
      <c r="I18" s="210"/>
      <c r="J18" s="222"/>
      <c r="K18" s="222"/>
    </row>
    <row r="19" spans="2:11" s="218" customFormat="1" ht="12" customHeight="1" x14ac:dyDescent="0.2">
      <c r="B19" s="267" t="s">
        <v>586</v>
      </c>
      <c r="C19" s="288" t="s">
        <v>587</v>
      </c>
      <c r="D19" s="265">
        <v>1</v>
      </c>
      <c r="E19" s="266">
        <v>0</v>
      </c>
      <c r="F19" s="210"/>
      <c r="G19" s="222"/>
      <c r="H19" s="221"/>
      <c r="I19" s="210"/>
      <c r="J19" s="222"/>
      <c r="K19" s="222"/>
    </row>
    <row r="20" spans="2:11" s="218" customFormat="1" ht="12" customHeight="1" x14ac:dyDescent="0.2">
      <c r="B20" s="267" t="s">
        <v>588</v>
      </c>
      <c r="C20" s="288" t="s">
        <v>589</v>
      </c>
      <c r="D20" s="265">
        <v>1</v>
      </c>
      <c r="E20" s="266">
        <v>0</v>
      </c>
      <c r="F20" s="210"/>
      <c r="G20" s="222"/>
      <c r="H20" s="221"/>
      <c r="I20" s="210"/>
      <c r="J20" s="222"/>
      <c r="K20" s="222"/>
    </row>
    <row r="21" spans="2:11" s="218" customFormat="1" ht="12" customHeight="1" x14ac:dyDescent="0.2">
      <c r="B21" s="267" t="s">
        <v>590</v>
      </c>
      <c r="C21" s="288" t="s">
        <v>591</v>
      </c>
      <c r="D21" s="265">
        <v>1</v>
      </c>
      <c r="E21" s="266">
        <v>0</v>
      </c>
      <c r="F21" s="210"/>
      <c r="G21" s="222"/>
      <c r="H21" s="221"/>
      <c r="I21" s="210"/>
      <c r="J21" s="222"/>
      <c r="K21" s="222"/>
    </row>
    <row r="22" spans="2:11" s="251" customFormat="1" ht="12" customHeight="1" x14ac:dyDescent="0.2">
      <c r="B22" s="267" t="s">
        <v>592</v>
      </c>
      <c r="C22" s="288" t="s">
        <v>593</v>
      </c>
      <c r="D22" s="265" t="s">
        <v>667</v>
      </c>
      <c r="E22" s="266">
        <v>0</v>
      </c>
      <c r="F22" s="210"/>
      <c r="G22" s="222"/>
      <c r="H22" s="221"/>
      <c r="I22" s="235"/>
      <c r="J22" s="229"/>
      <c r="K22" s="229"/>
    </row>
    <row r="23" spans="2:11" s="251" customFormat="1" ht="12" customHeight="1" x14ac:dyDescent="0.2">
      <c r="B23" s="267" t="s">
        <v>594</v>
      </c>
      <c r="C23" s="288" t="s">
        <v>595</v>
      </c>
      <c r="D23" s="265">
        <v>1</v>
      </c>
      <c r="E23" s="266">
        <v>0</v>
      </c>
      <c r="F23" s="210"/>
      <c r="G23" s="222"/>
      <c r="H23" s="221"/>
      <c r="I23" s="235"/>
      <c r="J23" s="229"/>
      <c r="K23" s="229"/>
    </row>
    <row r="24" spans="2:11" s="251" customFormat="1" ht="12" customHeight="1" x14ac:dyDescent="0.2">
      <c r="B24" s="267" t="s">
        <v>596</v>
      </c>
      <c r="C24" s="288" t="s">
        <v>597</v>
      </c>
      <c r="D24" s="265">
        <v>4</v>
      </c>
      <c r="E24" s="266">
        <v>0</v>
      </c>
      <c r="F24" s="210"/>
      <c r="G24" s="222"/>
      <c r="H24" s="221"/>
      <c r="I24" s="235"/>
      <c r="J24" s="229"/>
      <c r="K24" s="229"/>
    </row>
    <row r="25" spans="2:11" s="251" customFormat="1" ht="12" customHeight="1" x14ac:dyDescent="0.2">
      <c r="B25" s="267" t="s">
        <v>598</v>
      </c>
      <c r="C25" s="288" t="s">
        <v>599</v>
      </c>
      <c r="D25" s="265" t="s">
        <v>668</v>
      </c>
      <c r="E25" s="266">
        <v>0</v>
      </c>
      <c r="F25" s="210"/>
      <c r="G25" s="222"/>
      <c r="H25" s="221"/>
      <c r="I25" s="235"/>
      <c r="J25" s="229"/>
      <c r="K25" s="229"/>
    </row>
    <row r="26" spans="2:11" s="251" customFormat="1" ht="12" customHeight="1" x14ac:dyDescent="0.2">
      <c r="B26" s="267" t="s">
        <v>600</v>
      </c>
      <c r="C26" s="288" t="s">
        <v>601</v>
      </c>
      <c r="D26" s="265" t="s">
        <v>669</v>
      </c>
      <c r="E26" s="266">
        <v>0</v>
      </c>
      <c r="F26" s="210"/>
      <c r="G26" s="222"/>
      <c r="H26" s="221"/>
      <c r="I26" s="235"/>
      <c r="J26" s="229"/>
      <c r="K26" s="229"/>
    </row>
    <row r="27" spans="2:11" s="251" customFormat="1" ht="12" customHeight="1" x14ac:dyDescent="0.2">
      <c r="B27" s="267" t="s">
        <v>604</v>
      </c>
      <c r="C27" s="288" t="s">
        <v>605</v>
      </c>
      <c r="D27" s="265">
        <v>9</v>
      </c>
      <c r="E27" s="266">
        <v>0</v>
      </c>
      <c r="F27" s="210"/>
      <c r="G27" s="222"/>
      <c r="H27" s="221"/>
      <c r="I27" s="235"/>
      <c r="J27" s="229"/>
      <c r="K27" s="229"/>
    </row>
    <row r="28" spans="2:11" s="251" customFormat="1" ht="12" customHeight="1" x14ac:dyDescent="0.2">
      <c r="B28" s="267" t="s">
        <v>606</v>
      </c>
      <c r="C28" s="288" t="s">
        <v>607</v>
      </c>
      <c r="D28" s="265">
        <v>5</v>
      </c>
      <c r="E28" s="266">
        <v>0</v>
      </c>
      <c r="F28" s="210"/>
      <c r="G28" s="222"/>
      <c r="H28" s="221"/>
      <c r="I28" s="235"/>
      <c r="J28" s="229"/>
      <c r="K28" s="229"/>
    </row>
    <row r="29" spans="2:11" s="218" customFormat="1" ht="12" customHeight="1" x14ac:dyDescent="0.2">
      <c r="B29" s="267" t="s">
        <v>608</v>
      </c>
      <c r="C29" s="288" t="s">
        <v>609</v>
      </c>
      <c r="D29" s="265">
        <v>5</v>
      </c>
      <c r="E29" s="266">
        <v>0</v>
      </c>
      <c r="F29" s="210"/>
      <c r="G29" s="222"/>
      <c r="H29" s="221"/>
      <c r="I29" s="210"/>
      <c r="J29" s="222"/>
      <c r="K29" s="222"/>
    </row>
    <row r="30" spans="2:11" s="218" customFormat="1" ht="12" customHeight="1" x14ac:dyDescent="0.2">
      <c r="B30" s="267" t="s">
        <v>610</v>
      </c>
      <c r="C30" s="288" t="s">
        <v>611</v>
      </c>
      <c r="D30" s="265">
        <v>4</v>
      </c>
      <c r="E30" s="266">
        <v>0</v>
      </c>
      <c r="F30" s="210"/>
      <c r="G30" s="222"/>
      <c r="H30" s="221"/>
      <c r="I30" s="235"/>
      <c r="J30" s="222"/>
      <c r="K30" s="222"/>
    </row>
    <row r="31" spans="2:11" s="218" customFormat="1" ht="12" customHeight="1" x14ac:dyDescent="0.2">
      <c r="B31" s="267" t="s">
        <v>612</v>
      </c>
      <c r="C31" s="288" t="s">
        <v>613</v>
      </c>
      <c r="D31" s="265">
        <v>4</v>
      </c>
      <c r="E31" s="266">
        <v>0</v>
      </c>
      <c r="F31" s="210"/>
      <c r="G31" s="222"/>
      <c r="H31" s="221"/>
      <c r="I31" s="235"/>
      <c r="J31" s="222"/>
      <c r="K31" s="222"/>
    </row>
    <row r="32" spans="2:11" s="218" customFormat="1" ht="12" customHeight="1" x14ac:dyDescent="0.2">
      <c r="B32" s="267" t="s">
        <v>670</v>
      </c>
      <c r="C32" s="288" t="s">
        <v>681</v>
      </c>
      <c r="D32" s="265">
        <v>4</v>
      </c>
      <c r="E32" s="266">
        <v>0</v>
      </c>
      <c r="F32" s="210"/>
      <c r="G32" s="222"/>
      <c r="H32" s="221"/>
      <c r="I32" s="235"/>
      <c r="J32" s="222"/>
      <c r="K32" s="222"/>
    </row>
    <row r="33" spans="1:11" s="218" customFormat="1" ht="12" customHeight="1" x14ac:dyDescent="0.2">
      <c r="B33" s="267" t="s">
        <v>671</v>
      </c>
      <c r="C33" s="288" t="s">
        <v>682</v>
      </c>
      <c r="D33" s="265">
        <v>4</v>
      </c>
      <c r="E33" s="266">
        <v>0</v>
      </c>
      <c r="F33" s="210"/>
      <c r="G33" s="222"/>
      <c r="H33" s="221"/>
      <c r="I33" s="235"/>
      <c r="J33" s="222"/>
      <c r="K33" s="222"/>
    </row>
    <row r="34" spans="1:11" s="218" customFormat="1" ht="12" customHeight="1" x14ac:dyDescent="0.2">
      <c r="B34" s="267" t="s">
        <v>672</v>
      </c>
      <c r="C34" s="288" t="s">
        <v>683</v>
      </c>
      <c r="D34" s="265">
        <v>3</v>
      </c>
      <c r="E34" s="266">
        <v>0</v>
      </c>
      <c r="F34" s="210"/>
      <c r="G34" s="222"/>
      <c r="H34" s="221"/>
      <c r="I34" s="235"/>
      <c r="J34" s="222"/>
      <c r="K34" s="222"/>
    </row>
    <row r="35" spans="1:11" s="218" customFormat="1" ht="12" customHeight="1" x14ac:dyDescent="0.2">
      <c r="B35" s="267" t="s">
        <v>488</v>
      </c>
      <c r="C35" s="288" t="s">
        <v>747</v>
      </c>
      <c r="D35" s="265">
        <v>1</v>
      </c>
      <c r="E35" s="266">
        <v>5.7901234567901234</v>
      </c>
      <c r="F35" s="210"/>
      <c r="G35" s="222"/>
      <c r="H35" s="221"/>
      <c r="I35" s="235"/>
      <c r="J35" s="222"/>
      <c r="K35" s="222"/>
    </row>
    <row r="36" spans="1:11" s="218" customFormat="1" ht="12" customHeight="1" x14ac:dyDescent="0.2">
      <c r="B36" s="267" t="s">
        <v>489</v>
      </c>
      <c r="C36" s="288" t="s">
        <v>748</v>
      </c>
      <c r="D36" s="265">
        <v>1</v>
      </c>
      <c r="E36" s="266">
        <v>7.1975308641975309</v>
      </c>
      <c r="F36" s="210"/>
      <c r="G36" s="222"/>
      <c r="H36" s="221"/>
      <c r="I36" s="235"/>
      <c r="J36" s="222"/>
      <c r="K36" s="222"/>
    </row>
    <row r="37" spans="1:11" s="218" customFormat="1" ht="12" customHeight="1" x14ac:dyDescent="0.2">
      <c r="B37" s="267" t="s">
        <v>490</v>
      </c>
      <c r="C37" s="288" t="s">
        <v>749</v>
      </c>
      <c r="D37" s="265">
        <v>1</v>
      </c>
      <c r="E37" s="266">
        <v>2.0493827160493825</v>
      </c>
      <c r="F37" s="210"/>
      <c r="G37" s="222"/>
      <c r="H37" s="221"/>
      <c r="I37" s="235"/>
      <c r="J37" s="222"/>
      <c r="K37" s="222"/>
    </row>
    <row r="38" spans="1:11" s="218" customFormat="1" ht="12" customHeight="1" x14ac:dyDescent="0.2">
      <c r="B38" s="267" t="s">
        <v>577</v>
      </c>
      <c r="C38" s="288" t="s">
        <v>578</v>
      </c>
      <c r="D38" s="265">
        <v>1</v>
      </c>
      <c r="E38" s="266">
        <v>2.0617283950617282</v>
      </c>
      <c r="F38" s="210"/>
      <c r="G38" s="222"/>
      <c r="H38" s="221"/>
      <c r="I38" s="235"/>
      <c r="J38" s="222"/>
      <c r="K38" s="222"/>
    </row>
    <row r="39" spans="1:11" s="218" customFormat="1" ht="12" customHeight="1" x14ac:dyDescent="0.2">
      <c r="B39" s="267" t="s">
        <v>249</v>
      </c>
      <c r="C39" s="288" t="s">
        <v>250</v>
      </c>
      <c r="D39" s="265">
        <v>1</v>
      </c>
      <c r="E39" s="266">
        <v>6.1728395061728392E-2</v>
      </c>
      <c r="F39" s="210"/>
      <c r="G39" s="222"/>
      <c r="H39" s="221"/>
      <c r="I39" s="235"/>
      <c r="J39" s="222"/>
      <c r="K39" s="222"/>
    </row>
    <row r="40" spans="1:11" s="218" customFormat="1" ht="12" customHeight="1" x14ac:dyDescent="0.2">
      <c r="B40" s="267" t="s">
        <v>726</v>
      </c>
      <c r="C40" s="288" t="s">
        <v>737</v>
      </c>
      <c r="D40" s="265">
        <v>1</v>
      </c>
      <c r="E40" s="266">
        <v>0</v>
      </c>
      <c r="F40" s="210"/>
      <c r="G40" s="222"/>
      <c r="H40" s="221"/>
      <c r="I40" s="235"/>
      <c r="J40" s="222"/>
      <c r="K40" s="222"/>
    </row>
    <row r="41" spans="1:11" s="218" customFormat="1" ht="12" customHeight="1" x14ac:dyDescent="0.2">
      <c r="B41" s="267" t="s">
        <v>33</v>
      </c>
      <c r="C41" s="288" t="s">
        <v>152</v>
      </c>
      <c r="D41" s="265">
        <v>1</v>
      </c>
      <c r="E41" s="266">
        <v>86.419753086419746</v>
      </c>
      <c r="F41" s="210"/>
      <c r="G41" s="222"/>
      <c r="H41" s="221"/>
      <c r="I41" s="235"/>
      <c r="J41" s="222"/>
      <c r="K41" s="222"/>
    </row>
    <row r="42" spans="1:11" s="218" customFormat="1" ht="12" customHeight="1" x14ac:dyDescent="0.2">
      <c r="B42" s="267" t="s">
        <v>614</v>
      </c>
      <c r="C42" s="288" t="s">
        <v>642</v>
      </c>
      <c r="D42" s="265">
        <v>1</v>
      </c>
      <c r="E42" s="266">
        <v>13.827160493827158</v>
      </c>
      <c r="F42" s="210"/>
      <c r="G42" s="222"/>
      <c r="H42" s="221"/>
      <c r="I42" s="235"/>
      <c r="J42" s="222"/>
      <c r="K42" s="222"/>
    </row>
    <row r="43" spans="1:11" s="218" customFormat="1" ht="12" customHeight="1" x14ac:dyDescent="0.2">
      <c r="B43" s="267" t="s">
        <v>615</v>
      </c>
      <c r="C43" s="288" t="s">
        <v>643</v>
      </c>
      <c r="D43" s="265">
        <v>1</v>
      </c>
      <c r="E43" s="266">
        <v>23.703703703703702</v>
      </c>
      <c r="F43" s="210"/>
      <c r="G43" s="222"/>
      <c r="H43" s="221"/>
      <c r="I43" s="235"/>
      <c r="J43" s="222"/>
      <c r="K43" s="222"/>
    </row>
    <row r="44" spans="1:11" s="218" customFormat="1" ht="12" customHeight="1" x14ac:dyDescent="0.2">
      <c r="B44" s="267" t="s">
        <v>616</v>
      </c>
      <c r="C44" s="288" t="s">
        <v>644</v>
      </c>
      <c r="D44" s="265">
        <v>1</v>
      </c>
      <c r="E44" s="266">
        <v>7.4074074074074066</v>
      </c>
      <c r="F44" s="210"/>
      <c r="G44" s="222"/>
      <c r="H44" s="221"/>
      <c r="I44" s="235"/>
      <c r="J44" s="222"/>
      <c r="K44" s="222"/>
    </row>
    <row r="45" spans="1:11" s="218" customFormat="1" ht="12" customHeight="1" x14ac:dyDescent="0.2">
      <c r="B45" s="267" t="s">
        <v>617</v>
      </c>
      <c r="C45" s="288" t="s">
        <v>645</v>
      </c>
      <c r="D45" s="265">
        <v>1</v>
      </c>
      <c r="E45" s="266">
        <v>14.617283950617283</v>
      </c>
      <c r="F45" s="210"/>
      <c r="G45" s="222"/>
      <c r="H45" s="221"/>
      <c r="I45" s="235"/>
      <c r="J45" s="222"/>
      <c r="K45" s="222"/>
    </row>
    <row r="46" spans="1:11" s="218" customFormat="1" ht="12" customHeight="1" x14ac:dyDescent="0.2">
      <c r="B46" s="267"/>
      <c r="C46" s="265"/>
      <c r="D46" s="265"/>
      <c r="E46" s="266">
        <v>0</v>
      </c>
      <c r="F46" s="210"/>
      <c r="G46" s="222"/>
      <c r="H46" s="221"/>
      <c r="I46" s="235"/>
      <c r="J46" s="222"/>
      <c r="K46" s="222"/>
    </row>
    <row r="47" spans="1:11" s="218" customFormat="1" ht="12" customHeight="1" x14ac:dyDescent="0.2">
      <c r="B47" s="224"/>
      <c r="C47" s="213" t="s">
        <v>186</v>
      </c>
      <c r="D47" s="220"/>
      <c r="E47" s="303">
        <v>0</v>
      </c>
      <c r="F47" s="210"/>
      <c r="G47" s="222"/>
      <c r="H47" s="215"/>
      <c r="I47" s="210"/>
      <c r="J47" s="222"/>
      <c r="K47" s="222"/>
    </row>
    <row r="48" spans="1:11" s="218" customFormat="1" ht="12" customHeight="1" x14ac:dyDescent="0.2">
      <c r="A48" s="251"/>
      <c r="B48" s="267" t="s">
        <v>673</v>
      </c>
      <c r="C48" s="288" t="s">
        <v>503</v>
      </c>
      <c r="D48" s="265">
        <v>1</v>
      </c>
      <c r="E48" s="303">
        <v>0</v>
      </c>
      <c r="F48" s="210"/>
      <c r="G48" s="229"/>
      <c r="H48" s="215"/>
      <c r="I48" s="210"/>
      <c r="J48" s="222"/>
      <c r="K48" s="222"/>
    </row>
    <row r="49" spans="1:11" s="218" customFormat="1" ht="12" customHeight="1" x14ac:dyDescent="0.2">
      <c r="A49" s="251"/>
      <c r="B49" s="267" t="s">
        <v>758</v>
      </c>
      <c r="C49" s="288" t="s">
        <v>506</v>
      </c>
      <c r="D49" s="265">
        <v>1</v>
      </c>
      <c r="E49" s="303">
        <v>0</v>
      </c>
      <c r="F49" s="210"/>
      <c r="G49" s="229"/>
      <c r="H49" s="215"/>
      <c r="I49" s="210"/>
      <c r="J49" s="222"/>
      <c r="K49" s="222"/>
    </row>
    <row r="50" spans="1:11" s="218" customFormat="1" ht="12" customHeight="1" x14ac:dyDescent="0.2">
      <c r="A50" s="251"/>
      <c r="B50" s="267" t="s">
        <v>755</v>
      </c>
      <c r="C50" s="288" t="s">
        <v>505</v>
      </c>
      <c r="D50" s="265">
        <v>1</v>
      </c>
      <c r="E50" s="303">
        <v>0</v>
      </c>
      <c r="F50" s="210"/>
      <c r="G50" s="229"/>
      <c r="H50" s="215"/>
      <c r="I50" s="210"/>
      <c r="J50" s="222"/>
      <c r="K50" s="222"/>
    </row>
    <row r="51" spans="1:11" s="218" customFormat="1" ht="12" customHeight="1" x14ac:dyDescent="0.2">
      <c r="A51" s="251"/>
      <c r="B51" s="267" t="s">
        <v>507</v>
      </c>
      <c r="C51" s="288" t="s">
        <v>508</v>
      </c>
      <c r="D51" s="265">
        <v>1</v>
      </c>
      <c r="E51" s="303">
        <v>0</v>
      </c>
      <c r="F51" s="210"/>
      <c r="G51" s="229"/>
      <c r="H51" s="215"/>
      <c r="I51" s="210"/>
      <c r="J51" s="222"/>
      <c r="K51" s="222"/>
    </row>
    <row r="52" spans="1:11" s="218" customFormat="1" ht="12" customHeight="1" x14ac:dyDescent="0.2">
      <c r="A52" s="251"/>
      <c r="B52" s="267" t="s">
        <v>618</v>
      </c>
      <c r="C52" s="288" t="s">
        <v>502</v>
      </c>
      <c r="D52" s="265">
        <v>1</v>
      </c>
      <c r="E52" s="303">
        <v>0</v>
      </c>
      <c r="F52" s="210"/>
      <c r="G52" s="229"/>
      <c r="H52" s="215"/>
      <c r="I52" s="210"/>
      <c r="J52" s="222"/>
      <c r="K52" s="222"/>
    </row>
    <row r="53" spans="1:11" s="218" customFormat="1" ht="12" customHeight="1" x14ac:dyDescent="0.2">
      <c r="A53" s="251"/>
      <c r="B53" s="267" t="s">
        <v>674</v>
      </c>
      <c r="C53" s="288" t="s">
        <v>690</v>
      </c>
      <c r="D53" s="265">
        <v>1</v>
      </c>
      <c r="E53" s="303">
        <v>0</v>
      </c>
      <c r="F53" s="210"/>
      <c r="G53" s="229"/>
      <c r="H53" s="215"/>
      <c r="I53" s="210"/>
      <c r="J53" s="222"/>
      <c r="K53" s="222"/>
    </row>
    <row r="54" spans="1:11" ht="12" customHeight="1" x14ac:dyDescent="0.2">
      <c r="A54" s="231"/>
      <c r="B54" s="231"/>
      <c r="C54" s="231" t="s">
        <v>188</v>
      </c>
      <c r="D54" s="231"/>
      <c r="E54" s="231">
        <v>0</v>
      </c>
      <c r="F54" s="231"/>
      <c r="G54" s="231"/>
      <c r="H54" s="231"/>
      <c r="I54" s="231"/>
      <c r="J54" s="231"/>
      <c r="K54" s="231"/>
    </row>
    <row r="55" spans="1:11" ht="12" customHeight="1" x14ac:dyDescent="0.2">
      <c r="B55" s="212"/>
      <c r="C55" s="213" t="s">
        <v>620</v>
      </c>
      <c r="D55" s="228"/>
      <c r="E55" s="303">
        <v>0</v>
      </c>
      <c r="F55" s="235"/>
      <c r="G55" s="229"/>
      <c r="H55" s="215"/>
      <c r="I55" s="210"/>
      <c r="J55" s="222"/>
      <c r="K55" s="222"/>
    </row>
    <row r="56" spans="1:11" ht="12" customHeight="1" x14ac:dyDescent="0.2">
      <c r="B56" s="267" t="s">
        <v>575</v>
      </c>
      <c r="C56" s="288" t="s">
        <v>637</v>
      </c>
      <c r="D56" s="228">
        <v>1</v>
      </c>
      <c r="E56" s="266">
        <v>38.518518518518512</v>
      </c>
      <c r="F56" s="235"/>
      <c r="G56" s="222"/>
      <c r="H56" s="221"/>
      <c r="I56" s="235"/>
      <c r="J56" s="222"/>
      <c r="K56" s="222"/>
    </row>
    <row r="57" spans="1:11" ht="12" customHeight="1" x14ac:dyDescent="0.2">
      <c r="B57" s="312"/>
      <c r="C57" s="265"/>
      <c r="D57" s="228"/>
      <c r="E57" s="266">
        <v>0</v>
      </c>
      <c r="F57" s="235"/>
      <c r="G57" s="222"/>
      <c r="H57" s="221"/>
      <c r="I57" s="235"/>
      <c r="J57" s="222"/>
      <c r="K57" s="222"/>
    </row>
    <row r="58" spans="1:11" ht="12" customHeight="1" x14ac:dyDescent="0.2">
      <c r="B58" s="312"/>
      <c r="C58" s="285" t="s">
        <v>553</v>
      </c>
      <c r="D58" s="228"/>
      <c r="E58" s="266">
        <v>0</v>
      </c>
      <c r="F58" s="235"/>
      <c r="G58" s="222"/>
      <c r="H58" s="221"/>
      <c r="I58" s="235"/>
      <c r="J58" s="222"/>
      <c r="K58" s="222"/>
    </row>
    <row r="59" spans="1:11" ht="12" customHeight="1" x14ac:dyDescent="0.2">
      <c r="B59" s="313"/>
      <c r="C59" s="285" t="s">
        <v>226</v>
      </c>
      <c r="D59" s="228"/>
      <c r="E59" s="303">
        <v>0</v>
      </c>
      <c r="F59" s="235"/>
      <c r="G59" s="222"/>
      <c r="H59" s="221"/>
      <c r="I59" s="235"/>
      <c r="J59" s="222"/>
      <c r="K59" s="222"/>
    </row>
    <row r="60" spans="1:11" ht="12" customHeight="1" x14ac:dyDescent="0.2">
      <c r="B60" s="267"/>
      <c r="C60" s="285" t="s">
        <v>553</v>
      </c>
      <c r="D60" s="228"/>
      <c r="E60" s="303">
        <v>0</v>
      </c>
      <c r="F60" s="235"/>
      <c r="G60" s="222"/>
      <c r="H60" s="221"/>
      <c r="I60" s="235"/>
      <c r="J60" s="222"/>
      <c r="K60" s="222"/>
    </row>
    <row r="61" spans="1:11" ht="12" customHeight="1" x14ac:dyDescent="0.2">
      <c r="B61" s="267" t="s">
        <v>475</v>
      </c>
      <c r="C61" s="288" t="s">
        <v>476</v>
      </c>
      <c r="D61" s="228">
        <v>1</v>
      </c>
      <c r="E61" s="266">
        <v>2.3703703703703702</v>
      </c>
      <c r="F61" s="235"/>
      <c r="G61" s="222"/>
      <c r="H61" s="221"/>
      <c r="I61" s="235"/>
      <c r="J61" s="222"/>
      <c r="K61" s="222"/>
    </row>
    <row r="62" spans="1:11" ht="12" customHeight="1" x14ac:dyDescent="0.2">
      <c r="B62" s="267" t="s">
        <v>564</v>
      </c>
      <c r="C62" s="288" t="s">
        <v>565</v>
      </c>
      <c r="D62" s="228">
        <v>1</v>
      </c>
      <c r="E62" s="266">
        <v>58.074074074074069</v>
      </c>
      <c r="F62" s="235"/>
      <c r="G62" s="222"/>
      <c r="H62" s="221"/>
      <c r="I62" s="235"/>
      <c r="J62" s="222"/>
      <c r="K62" s="222"/>
    </row>
    <row r="63" spans="1:11" ht="12" customHeight="1" x14ac:dyDescent="0.2">
      <c r="B63" s="267" t="s">
        <v>262</v>
      </c>
      <c r="C63" s="288" t="s">
        <v>102</v>
      </c>
      <c r="D63" s="228">
        <v>1</v>
      </c>
      <c r="E63" s="266">
        <v>4.2592592592592595</v>
      </c>
      <c r="F63" s="235"/>
      <c r="G63" s="222"/>
      <c r="H63" s="221"/>
      <c r="I63" s="235"/>
      <c r="J63" s="222"/>
      <c r="K63" s="222"/>
    </row>
    <row r="64" spans="1:11" ht="12" customHeight="1" x14ac:dyDescent="0.2">
      <c r="B64" s="267" t="s">
        <v>271</v>
      </c>
      <c r="C64" s="288" t="s">
        <v>65</v>
      </c>
      <c r="D64" s="228">
        <v>1</v>
      </c>
      <c r="E64" s="266">
        <v>4.9382716049382713</v>
      </c>
      <c r="F64" s="235"/>
      <c r="G64" s="222"/>
      <c r="H64" s="221"/>
      <c r="I64" s="235"/>
      <c r="J64" s="222"/>
      <c r="K64" s="222"/>
    </row>
    <row r="65" spans="2:11" ht="12" customHeight="1" x14ac:dyDescent="0.2">
      <c r="B65" s="311">
        <v>9824535</v>
      </c>
      <c r="C65" s="288" t="s">
        <v>158</v>
      </c>
      <c r="D65" s="228">
        <v>2</v>
      </c>
      <c r="E65" s="266">
        <v>0</v>
      </c>
      <c r="F65" s="235"/>
      <c r="G65" s="222"/>
      <c r="H65" s="221"/>
      <c r="I65" s="235"/>
      <c r="J65" s="222"/>
      <c r="K65" s="222"/>
    </row>
    <row r="66" spans="2:11" ht="12" customHeight="1" x14ac:dyDescent="0.2">
      <c r="B66" s="267"/>
      <c r="C66" s="265"/>
      <c r="D66" s="228"/>
      <c r="E66" s="303">
        <v>0</v>
      </c>
      <c r="F66" s="235"/>
      <c r="G66" s="222"/>
      <c r="H66" s="221"/>
      <c r="I66" s="235"/>
      <c r="J66" s="222"/>
      <c r="K66" s="222"/>
    </row>
    <row r="67" spans="2:11" ht="12" customHeight="1" x14ac:dyDescent="0.2">
      <c r="B67" s="267"/>
      <c r="C67" s="285" t="s">
        <v>226</v>
      </c>
      <c r="D67" s="228"/>
      <c r="E67" s="303">
        <v>0</v>
      </c>
      <c r="F67" s="235"/>
      <c r="G67" s="222"/>
      <c r="H67" s="221"/>
      <c r="I67" s="235"/>
      <c r="J67" s="222"/>
      <c r="K67" s="222"/>
    </row>
    <row r="68" spans="2:11" ht="12" customHeight="1" x14ac:dyDescent="0.2">
      <c r="B68" s="267" t="s">
        <v>566</v>
      </c>
      <c r="C68" s="288" t="s">
        <v>567</v>
      </c>
      <c r="D68" s="228">
        <v>1</v>
      </c>
      <c r="E68" s="266">
        <v>86.123456790123456</v>
      </c>
      <c r="F68" s="235"/>
      <c r="G68" s="222"/>
      <c r="H68" s="221"/>
      <c r="I68" s="235"/>
      <c r="J68" s="222"/>
      <c r="K68" s="222"/>
    </row>
    <row r="69" spans="2:11" ht="12" customHeight="1" x14ac:dyDescent="0.2">
      <c r="B69" s="267" t="s">
        <v>35</v>
      </c>
      <c r="C69" s="288" t="s">
        <v>143</v>
      </c>
      <c r="D69" s="228">
        <v>1</v>
      </c>
      <c r="E69" s="266">
        <v>18.061728395061728</v>
      </c>
      <c r="F69" s="235"/>
      <c r="G69" s="222"/>
      <c r="H69" s="221"/>
      <c r="I69" s="235"/>
      <c r="J69" s="222"/>
      <c r="K69" s="222"/>
    </row>
    <row r="70" spans="2:11" ht="12" customHeight="1" x14ac:dyDescent="0.2">
      <c r="B70" s="267">
        <v>3809200</v>
      </c>
      <c r="C70" s="288" t="s">
        <v>7</v>
      </c>
      <c r="D70" s="228">
        <v>1</v>
      </c>
      <c r="E70" s="266">
        <v>1.9753086419753085</v>
      </c>
      <c r="F70" s="235"/>
      <c r="G70" s="222"/>
      <c r="H70" s="221"/>
      <c r="I70" s="235"/>
      <c r="J70" s="222"/>
      <c r="K70" s="222"/>
    </row>
    <row r="71" spans="2:11" ht="12" customHeight="1" x14ac:dyDescent="0.2">
      <c r="B71" s="267" t="s">
        <v>243</v>
      </c>
      <c r="C71" s="288" t="s">
        <v>244</v>
      </c>
      <c r="D71" s="228">
        <v>2</v>
      </c>
      <c r="E71" s="266">
        <v>0</v>
      </c>
      <c r="F71" s="235"/>
      <c r="G71" s="222"/>
      <c r="H71" s="221"/>
      <c r="I71" s="235"/>
      <c r="J71" s="222"/>
      <c r="K71" s="222"/>
    </row>
    <row r="72" spans="2:11" ht="12" customHeight="1" x14ac:dyDescent="0.2">
      <c r="B72" s="267" t="s">
        <v>41</v>
      </c>
      <c r="C72" s="288" t="s">
        <v>42</v>
      </c>
      <c r="D72" s="228">
        <v>1</v>
      </c>
      <c r="E72" s="266">
        <v>0.29629629629629628</v>
      </c>
      <c r="F72" s="235"/>
      <c r="G72" s="222"/>
      <c r="H72" s="221"/>
      <c r="I72" s="235"/>
      <c r="J72" s="222"/>
      <c r="K72" s="222"/>
    </row>
    <row r="73" spans="2:11" ht="12" customHeight="1" x14ac:dyDescent="0.2">
      <c r="B73" s="313"/>
      <c r="C73" s="213"/>
      <c r="D73" s="228"/>
      <c r="E73" s="303">
        <v>0</v>
      </c>
      <c r="F73" s="235"/>
      <c r="G73" s="229"/>
      <c r="H73" s="215"/>
      <c r="I73" s="210"/>
      <c r="J73" s="222"/>
      <c r="K73" s="222"/>
    </row>
    <row r="74" spans="2:11" ht="12" customHeight="1" x14ac:dyDescent="0.2">
      <c r="B74" s="313"/>
      <c r="C74" s="213" t="s">
        <v>44</v>
      </c>
      <c r="D74" s="228"/>
      <c r="E74" s="303">
        <v>0</v>
      </c>
      <c r="F74" s="235"/>
      <c r="G74" s="229"/>
      <c r="H74" s="215"/>
      <c r="I74" s="210"/>
      <c r="J74" s="222"/>
      <c r="K74" s="222"/>
    </row>
    <row r="75" spans="2:11" ht="12" customHeight="1" x14ac:dyDescent="0.2">
      <c r="B75" s="267" t="s">
        <v>422</v>
      </c>
      <c r="C75" s="288" t="s">
        <v>423</v>
      </c>
      <c r="D75" s="228">
        <v>1</v>
      </c>
      <c r="E75" s="266">
        <v>356.79012345679013</v>
      </c>
      <c r="F75" s="235"/>
      <c r="G75" s="222"/>
      <c r="H75" s="221"/>
      <c r="I75" s="235"/>
      <c r="J75" s="222"/>
      <c r="K75" s="222"/>
    </row>
    <row r="76" spans="2:11" ht="12" customHeight="1" x14ac:dyDescent="0.2">
      <c r="B76" s="267" t="s">
        <v>451</v>
      </c>
      <c r="C76" s="288" t="s">
        <v>743</v>
      </c>
      <c r="D76" s="228">
        <v>1</v>
      </c>
      <c r="E76" s="266">
        <v>281.95061728395058</v>
      </c>
      <c r="F76" s="235"/>
      <c r="G76" s="222"/>
      <c r="H76" s="221"/>
      <c r="I76" s="235"/>
      <c r="J76" s="222"/>
      <c r="K76" s="222"/>
    </row>
    <row r="77" spans="2:11" ht="12" customHeight="1" x14ac:dyDescent="0.2">
      <c r="B77" s="267" t="s">
        <v>449</v>
      </c>
      <c r="C77" s="288" t="s">
        <v>450</v>
      </c>
      <c r="D77" s="228">
        <v>1</v>
      </c>
      <c r="E77" s="266">
        <v>118.39506172839506</v>
      </c>
      <c r="F77" s="235"/>
      <c r="G77" s="222"/>
      <c r="H77" s="221"/>
      <c r="I77" s="235"/>
      <c r="J77" s="222"/>
      <c r="K77" s="222"/>
    </row>
    <row r="78" spans="2:11" ht="12" customHeight="1" x14ac:dyDescent="0.2">
      <c r="B78" s="267" t="s">
        <v>452</v>
      </c>
      <c r="C78" s="288" t="s">
        <v>514</v>
      </c>
      <c r="D78" s="228">
        <v>1</v>
      </c>
      <c r="E78" s="266">
        <v>61.728395061728392</v>
      </c>
      <c r="F78" s="235"/>
      <c r="G78" s="222"/>
      <c r="H78" s="221"/>
      <c r="I78" s="235"/>
      <c r="J78" s="222"/>
      <c r="K78" s="222"/>
    </row>
    <row r="79" spans="2:11" ht="12" customHeight="1" x14ac:dyDescent="0.2">
      <c r="B79" s="267" t="s">
        <v>356</v>
      </c>
      <c r="C79" s="288" t="s">
        <v>357</v>
      </c>
      <c r="D79" s="228">
        <v>1</v>
      </c>
      <c r="E79" s="266">
        <v>364.19753086419752</v>
      </c>
      <c r="F79" s="235"/>
      <c r="G79" s="222"/>
      <c r="H79" s="221"/>
      <c r="I79" s="235"/>
      <c r="J79" s="222"/>
      <c r="K79" s="222"/>
    </row>
    <row r="80" spans="2:11" ht="12" customHeight="1" x14ac:dyDescent="0.2">
      <c r="B80" s="267" t="s">
        <v>358</v>
      </c>
      <c r="C80" s="288" t="s">
        <v>359</v>
      </c>
      <c r="D80" s="228">
        <v>1</v>
      </c>
      <c r="E80" s="266">
        <v>265.53086419753089</v>
      </c>
      <c r="F80" s="235"/>
      <c r="G80" s="222"/>
      <c r="H80" s="221"/>
      <c r="I80" s="235"/>
      <c r="J80" s="222"/>
      <c r="K80" s="222"/>
    </row>
    <row r="81" spans="1:11" ht="12" customHeight="1" x14ac:dyDescent="0.2">
      <c r="B81" s="267" t="s">
        <v>360</v>
      </c>
      <c r="C81" s="288" t="s">
        <v>361</v>
      </c>
      <c r="D81" s="228">
        <v>1</v>
      </c>
      <c r="E81" s="266">
        <v>145.67901234567901</v>
      </c>
      <c r="F81" s="235"/>
      <c r="G81" s="222"/>
      <c r="H81" s="221"/>
      <c r="I81" s="235"/>
      <c r="J81" s="222"/>
      <c r="K81" s="222"/>
    </row>
    <row r="82" spans="1:11" ht="12" customHeight="1" x14ac:dyDescent="0.2">
      <c r="B82" s="267" t="s">
        <v>407</v>
      </c>
      <c r="C82" s="288" t="s">
        <v>408</v>
      </c>
      <c r="D82" s="228">
        <v>1</v>
      </c>
      <c r="E82" s="266">
        <v>48.148148148148145</v>
      </c>
      <c r="F82" s="235"/>
      <c r="G82" s="222"/>
      <c r="H82" s="221"/>
      <c r="I82" s="235"/>
      <c r="J82" s="222"/>
      <c r="K82" s="222"/>
    </row>
    <row r="83" spans="1:11" ht="12" customHeight="1" x14ac:dyDescent="0.2">
      <c r="A83" s="193">
        <v>1</v>
      </c>
      <c r="B83" s="219"/>
      <c r="C83" s="234" t="s">
        <v>1</v>
      </c>
      <c r="D83" s="220"/>
      <c r="E83" s="303">
        <v>0</v>
      </c>
      <c r="F83" s="210"/>
      <c r="G83" s="222"/>
      <c r="H83" s="221"/>
      <c r="I83" s="210"/>
      <c r="J83" s="222"/>
      <c r="K83" s="222"/>
    </row>
    <row r="84" spans="1:11" ht="12" customHeight="1" x14ac:dyDescent="0.2">
      <c r="A84" s="193">
        <v>2</v>
      </c>
      <c r="B84" s="267" t="s">
        <v>478</v>
      </c>
      <c r="C84" s="288" t="s">
        <v>392</v>
      </c>
      <c r="D84" s="220"/>
      <c r="E84" s="266">
        <v>43.209876543209873</v>
      </c>
      <c r="F84" s="210"/>
      <c r="G84" s="222"/>
      <c r="H84" s="221"/>
      <c r="I84" s="235"/>
      <c r="J84" s="222"/>
      <c r="K84" s="222"/>
    </row>
    <row r="85" spans="1:11" ht="12" customHeight="1" x14ac:dyDescent="0.2">
      <c r="B85" s="267" t="s">
        <v>493</v>
      </c>
      <c r="C85" s="288" t="s">
        <v>393</v>
      </c>
      <c r="D85" s="220"/>
      <c r="E85" s="266">
        <v>80.123456790123456</v>
      </c>
      <c r="F85" s="210"/>
      <c r="G85" s="222"/>
      <c r="H85" s="221"/>
      <c r="I85" s="235"/>
      <c r="J85" s="222"/>
      <c r="K85" s="222"/>
    </row>
    <row r="86" spans="1:11" ht="12" customHeight="1" x14ac:dyDescent="0.2">
      <c r="B86" s="219"/>
      <c r="C86" s="273"/>
      <c r="D86" s="220"/>
      <c r="E86" s="303">
        <v>0</v>
      </c>
      <c r="F86" s="210"/>
      <c r="G86" s="222"/>
      <c r="H86" s="221"/>
      <c r="I86" s="210"/>
      <c r="J86" s="222"/>
      <c r="K86" s="222"/>
    </row>
    <row r="87" spans="1:11" ht="12" customHeight="1" x14ac:dyDescent="0.2">
      <c r="B87" s="219"/>
      <c r="C87" s="234" t="s">
        <v>179</v>
      </c>
      <c r="D87" s="220"/>
      <c r="E87" s="303">
        <v>0</v>
      </c>
      <c r="F87" s="210"/>
      <c r="G87" s="222"/>
      <c r="H87" s="221"/>
      <c r="I87" s="210"/>
      <c r="J87" s="222"/>
      <c r="K87" s="222"/>
    </row>
    <row r="88" spans="1:11" ht="12" customHeight="1" x14ac:dyDescent="0.2">
      <c r="B88" s="219" t="s">
        <v>178</v>
      </c>
      <c r="C88" s="283" t="s">
        <v>178</v>
      </c>
      <c r="D88" s="220">
        <v>0</v>
      </c>
      <c r="E88" s="266">
        <v>0</v>
      </c>
      <c r="F88" s="210"/>
      <c r="G88" s="222"/>
      <c r="H88" s="221"/>
      <c r="I88" s="210"/>
      <c r="J88" s="222"/>
      <c r="K88" s="222"/>
    </row>
    <row r="89" spans="1:11" ht="12" customHeight="1" x14ac:dyDescent="0.2">
      <c r="B89" s="267" t="s">
        <v>562</v>
      </c>
      <c r="C89" s="288" t="s">
        <v>563</v>
      </c>
      <c r="D89" s="228">
        <v>1</v>
      </c>
      <c r="E89" s="210">
        <v>72.716049382716037</v>
      </c>
      <c r="F89" s="210"/>
      <c r="G89" s="222"/>
      <c r="H89" s="221"/>
      <c r="I89" s="235"/>
      <c r="J89" s="222"/>
      <c r="K89" s="222"/>
    </row>
    <row r="90" spans="1:11" ht="12" customHeight="1" x14ac:dyDescent="0.2">
      <c r="B90" s="267" t="s">
        <v>621</v>
      </c>
      <c r="C90" s="288" t="s">
        <v>622</v>
      </c>
      <c r="D90" s="228">
        <v>1</v>
      </c>
      <c r="E90" s="210">
        <v>117.59259259259258</v>
      </c>
      <c r="F90" s="210"/>
      <c r="G90" s="222"/>
      <c r="H90" s="221"/>
      <c r="I90" s="235"/>
      <c r="J90" s="222"/>
      <c r="K90" s="222"/>
    </row>
    <row r="91" spans="1:11" ht="12" customHeight="1" x14ac:dyDescent="0.2">
      <c r="B91" s="267" t="s">
        <v>623</v>
      </c>
      <c r="C91" s="288" t="s">
        <v>641</v>
      </c>
      <c r="D91" s="228">
        <v>1</v>
      </c>
      <c r="E91" s="210">
        <v>275.91358024691357</v>
      </c>
      <c r="F91" s="210"/>
      <c r="G91" s="222"/>
      <c r="H91" s="221"/>
      <c r="I91" s="235"/>
      <c r="J91" s="222"/>
      <c r="K91" s="222"/>
    </row>
    <row r="92" spans="1:11" ht="12" customHeight="1" x14ac:dyDescent="0.2">
      <c r="B92" s="267" t="s">
        <v>342</v>
      </c>
      <c r="C92" s="288" t="s">
        <v>85</v>
      </c>
      <c r="D92" s="228">
        <v>1</v>
      </c>
      <c r="E92" s="266">
        <v>54.197530864197525</v>
      </c>
      <c r="F92" s="210"/>
      <c r="G92" s="222"/>
      <c r="H92" s="221"/>
      <c r="I92" s="235"/>
      <c r="J92" s="222"/>
      <c r="K92" s="222"/>
    </row>
    <row r="93" spans="1:11" ht="12" customHeight="1" x14ac:dyDescent="0.2">
      <c r="B93" s="267">
        <v>2430169</v>
      </c>
      <c r="C93" s="288" t="s">
        <v>84</v>
      </c>
      <c r="D93" s="228">
        <v>1</v>
      </c>
      <c r="E93" s="266">
        <v>191.81481481481481</v>
      </c>
      <c r="F93" s="210"/>
      <c r="G93" s="222"/>
      <c r="H93" s="221"/>
      <c r="I93" s="235"/>
      <c r="J93" s="222"/>
      <c r="K93" s="228"/>
    </row>
    <row r="94" spans="1:11" ht="12" customHeight="1" x14ac:dyDescent="0.2">
      <c r="B94" s="311" t="s">
        <v>772</v>
      </c>
      <c r="C94" s="288" t="s">
        <v>330</v>
      </c>
      <c r="D94" s="228">
        <v>1</v>
      </c>
      <c r="E94" s="266">
        <v>283.95061728395058</v>
      </c>
      <c r="F94" s="210"/>
      <c r="G94" s="222"/>
      <c r="H94" s="221"/>
      <c r="I94" s="235"/>
      <c r="J94" s="222"/>
      <c r="K94" s="228"/>
    </row>
    <row r="95" spans="1:11" ht="12" customHeight="1" x14ac:dyDescent="0.2">
      <c r="B95" s="267" t="s">
        <v>324</v>
      </c>
      <c r="C95" s="288" t="s">
        <v>326</v>
      </c>
      <c r="D95" s="228">
        <v>1</v>
      </c>
      <c r="E95" s="266">
        <v>18.604938271604937</v>
      </c>
      <c r="F95" s="210"/>
      <c r="G95" s="222"/>
      <c r="H95" s="221"/>
      <c r="I95" s="235"/>
      <c r="J95" s="222"/>
      <c r="K95" s="228"/>
    </row>
    <row r="96" spans="1:11" ht="12" customHeight="1" x14ac:dyDescent="0.2">
      <c r="B96" s="267" t="s">
        <v>325</v>
      </c>
      <c r="C96" s="288" t="s">
        <v>327</v>
      </c>
      <c r="D96" s="228">
        <v>1</v>
      </c>
      <c r="E96" s="266">
        <v>19.037037037037035</v>
      </c>
      <c r="F96" s="210"/>
      <c r="G96" s="222"/>
      <c r="H96" s="221"/>
      <c r="I96" s="235"/>
      <c r="J96" s="222"/>
      <c r="K96" s="228"/>
    </row>
    <row r="97" spans="1:12" ht="12" customHeight="1" x14ac:dyDescent="0.2">
      <c r="B97" s="219" t="s">
        <v>178</v>
      </c>
      <c r="C97" s="283" t="s">
        <v>178</v>
      </c>
      <c r="D97" s="220"/>
      <c r="E97" s="266">
        <v>0</v>
      </c>
      <c r="F97" s="210"/>
      <c r="G97" s="222"/>
      <c r="H97" s="221"/>
      <c r="I97" s="235"/>
      <c r="J97" s="222"/>
      <c r="K97" s="222"/>
    </row>
    <row r="98" spans="1:12" ht="12" customHeight="1" x14ac:dyDescent="0.2">
      <c r="B98" s="314" t="s">
        <v>243</v>
      </c>
      <c r="C98" s="288" t="s">
        <v>244</v>
      </c>
      <c r="D98" s="228" t="s">
        <v>692</v>
      </c>
      <c r="E98" s="266">
        <v>0</v>
      </c>
      <c r="F98" s="210"/>
      <c r="G98" s="222"/>
      <c r="H98" s="221"/>
      <c r="I98" s="235"/>
      <c r="J98" s="222"/>
      <c r="K98" s="222"/>
    </row>
    <row r="99" spans="1:12" ht="12" customHeight="1" x14ac:dyDescent="0.2">
      <c r="B99" s="314">
        <v>3809917</v>
      </c>
      <c r="C99" s="288" t="s">
        <v>103</v>
      </c>
      <c r="D99" s="220">
        <v>1</v>
      </c>
      <c r="E99" s="266">
        <v>1.2222222222222221</v>
      </c>
      <c r="F99" s="210"/>
      <c r="G99" s="222"/>
      <c r="H99" s="221"/>
      <c r="I99" s="235"/>
      <c r="J99" s="222"/>
      <c r="K99" s="222"/>
    </row>
    <row r="100" spans="1:12" ht="12" customHeight="1" x14ac:dyDescent="0.2">
      <c r="B100" s="314" t="s">
        <v>657</v>
      </c>
      <c r="C100" s="288" t="s">
        <v>662</v>
      </c>
      <c r="D100" s="220"/>
      <c r="E100" s="266">
        <v>0</v>
      </c>
      <c r="F100" s="210"/>
      <c r="G100" s="222"/>
      <c r="H100" s="221"/>
      <c r="I100" s="235"/>
      <c r="J100" s="222"/>
      <c r="K100" s="222"/>
    </row>
    <row r="101" spans="1:12" ht="12" customHeight="1" x14ac:dyDescent="0.2">
      <c r="B101" s="314" t="s">
        <v>658</v>
      </c>
      <c r="C101" s="288" t="s">
        <v>663</v>
      </c>
      <c r="D101" s="220"/>
      <c r="E101" s="266">
        <v>0</v>
      </c>
      <c r="F101" s="210"/>
      <c r="G101" s="222"/>
      <c r="H101" s="221"/>
      <c r="I101" s="235"/>
      <c r="J101" s="222"/>
      <c r="K101" s="222"/>
    </row>
    <row r="102" spans="1:12" ht="12" customHeight="1" x14ac:dyDescent="0.2">
      <c r="B102" s="314" t="s">
        <v>659</v>
      </c>
      <c r="C102" s="288" t="s">
        <v>664</v>
      </c>
      <c r="D102" s="220"/>
      <c r="E102" s="303">
        <v>0</v>
      </c>
      <c r="F102" s="210"/>
      <c r="G102" s="222"/>
      <c r="H102" s="221"/>
      <c r="I102" s="210"/>
      <c r="J102" s="222"/>
      <c r="K102" s="222"/>
    </row>
    <row r="103" spans="1:12" ht="12" customHeight="1" x14ac:dyDescent="0.2">
      <c r="B103" s="219" t="s">
        <v>701</v>
      </c>
      <c r="C103" s="279" t="s">
        <v>689</v>
      </c>
      <c r="D103" s="225">
        <v>1</v>
      </c>
      <c r="E103" s="210">
        <v>0</v>
      </c>
      <c r="F103" s="210"/>
      <c r="G103" s="222"/>
      <c r="H103" s="221"/>
      <c r="I103" s="210"/>
      <c r="J103" s="222"/>
      <c r="K103" s="280"/>
      <c r="L103" s="218"/>
    </row>
    <row r="104" spans="1:12" ht="12" customHeight="1" x14ac:dyDescent="0.2">
      <c r="B104" s="219" t="s">
        <v>178</v>
      </c>
      <c r="C104" s="283" t="s">
        <v>178</v>
      </c>
      <c r="D104" s="220"/>
      <c r="E104" s="303">
        <v>0</v>
      </c>
      <c r="F104" s="210"/>
      <c r="G104" s="222"/>
      <c r="H104" s="221"/>
      <c r="I104" s="210"/>
      <c r="J104" s="222"/>
      <c r="K104" s="222"/>
    </row>
    <row r="105" spans="1:12" ht="12" customHeight="1" x14ac:dyDescent="0.2">
      <c r="B105" s="267"/>
      <c r="C105" s="315" t="s">
        <v>650</v>
      </c>
      <c r="D105" s="220"/>
      <c r="E105" s="303">
        <v>0</v>
      </c>
      <c r="F105" s="210"/>
      <c r="G105" s="222"/>
      <c r="H105" s="221"/>
      <c r="I105" s="210"/>
      <c r="J105" s="222"/>
      <c r="K105" s="222"/>
    </row>
    <row r="106" spans="1:12" ht="12" customHeight="1" x14ac:dyDescent="0.2">
      <c r="B106" s="267" t="s">
        <v>494</v>
      </c>
      <c r="C106" s="246" t="s">
        <v>495</v>
      </c>
      <c r="D106" s="220">
        <v>1</v>
      </c>
      <c r="E106" s="266">
        <v>40.432098765432094</v>
      </c>
      <c r="F106" s="210"/>
      <c r="G106" s="222"/>
      <c r="H106" s="221"/>
      <c r="I106" s="210"/>
      <c r="J106" s="222"/>
      <c r="K106" s="222"/>
    </row>
    <row r="107" spans="1:12" ht="12" customHeight="1" x14ac:dyDescent="0.2">
      <c r="B107" s="267" t="s">
        <v>479</v>
      </c>
      <c r="C107" s="246" t="s">
        <v>638</v>
      </c>
      <c r="D107" s="228">
        <v>1</v>
      </c>
      <c r="E107" s="266">
        <v>30.061728395061728</v>
      </c>
      <c r="F107" s="210"/>
      <c r="G107" s="222"/>
      <c r="H107" s="221"/>
      <c r="I107" s="210"/>
      <c r="J107" s="222"/>
      <c r="K107" s="222"/>
    </row>
    <row r="108" spans="1:12" ht="12" customHeight="1" x14ac:dyDescent="0.2">
      <c r="B108" s="294">
        <v>3810016</v>
      </c>
      <c r="C108" s="246" t="s">
        <v>104</v>
      </c>
      <c r="D108" s="288">
        <v>1</v>
      </c>
      <c r="E108" s="266">
        <v>0.48114814814814816</v>
      </c>
      <c r="F108" s="210"/>
      <c r="G108" s="222"/>
      <c r="H108" s="221"/>
      <c r="I108" s="210"/>
      <c r="J108" s="222"/>
      <c r="K108" s="222"/>
    </row>
    <row r="109" spans="1:12" ht="12" customHeight="1" x14ac:dyDescent="0.2">
      <c r="B109" s="294"/>
      <c r="C109" s="246"/>
      <c r="D109" s="288"/>
      <c r="E109" s="266">
        <v>0</v>
      </c>
      <c r="F109" s="210"/>
      <c r="G109" s="222"/>
      <c r="H109" s="221"/>
      <c r="I109" s="210"/>
      <c r="J109" s="222"/>
      <c r="K109" s="222"/>
    </row>
    <row r="110" spans="1:12" ht="12" customHeight="1" x14ac:dyDescent="0.2">
      <c r="A110" s="304" t="s">
        <v>256</v>
      </c>
      <c r="B110" s="294"/>
      <c r="C110" s="315" t="s">
        <v>651</v>
      </c>
      <c r="D110" s="288"/>
      <c r="E110" s="266">
        <v>0</v>
      </c>
      <c r="F110" s="210"/>
      <c r="G110" s="222"/>
      <c r="H110" s="221"/>
      <c r="I110" s="210"/>
      <c r="J110" s="222"/>
      <c r="K110" s="222"/>
    </row>
    <row r="111" spans="1:12" ht="12" customHeight="1" x14ac:dyDescent="0.2">
      <c r="A111" s="304" t="s">
        <v>257</v>
      </c>
      <c r="B111" s="267" t="s">
        <v>140</v>
      </c>
      <c r="C111" s="246" t="s">
        <v>141</v>
      </c>
      <c r="D111" s="220">
        <v>1</v>
      </c>
      <c r="E111" s="266">
        <v>12.098765432098766</v>
      </c>
      <c r="F111" s="210"/>
      <c r="G111" s="222"/>
      <c r="H111" s="221"/>
      <c r="I111" s="210"/>
      <c r="J111" s="222"/>
      <c r="K111" s="222"/>
    </row>
    <row r="112" spans="1:12" ht="12" customHeight="1" x14ac:dyDescent="0.2">
      <c r="A112" s="304"/>
      <c r="B112" s="267" t="s">
        <v>602</v>
      </c>
      <c r="C112" s="246" t="s">
        <v>603</v>
      </c>
      <c r="D112" s="246">
        <v>2</v>
      </c>
      <c r="E112" s="266">
        <v>0</v>
      </c>
      <c r="F112" s="210"/>
      <c r="G112" s="222"/>
      <c r="H112" s="221"/>
      <c r="I112" s="210"/>
      <c r="J112" s="222"/>
      <c r="K112" s="222"/>
    </row>
    <row r="113" spans="1:11" ht="12" customHeight="1" x14ac:dyDescent="0.2">
      <c r="B113" s="267"/>
      <c r="C113" s="288"/>
      <c r="D113" s="288"/>
      <c r="E113" s="303">
        <v>0</v>
      </c>
      <c r="F113" s="210"/>
      <c r="G113" s="222"/>
      <c r="I113" s="210"/>
      <c r="J113" s="222"/>
      <c r="K113" s="222"/>
    </row>
    <row r="114" spans="1:11" ht="12" customHeight="1" x14ac:dyDescent="0.2">
      <c r="A114" s="304" t="s">
        <v>256</v>
      </c>
      <c r="B114" s="267"/>
      <c r="C114" s="315" t="s">
        <v>624</v>
      </c>
      <c r="D114" s="288"/>
      <c r="E114" s="303">
        <v>0</v>
      </c>
      <c r="F114" s="210"/>
      <c r="G114" s="222"/>
      <c r="I114" s="210"/>
      <c r="J114" s="222"/>
      <c r="K114" s="222"/>
    </row>
    <row r="115" spans="1:11" ht="12" customHeight="1" x14ac:dyDescent="0.2">
      <c r="A115" s="304" t="s">
        <v>257</v>
      </c>
      <c r="B115" s="267" t="s">
        <v>496</v>
      </c>
      <c r="C115" s="246" t="s">
        <v>497</v>
      </c>
      <c r="D115" s="288">
        <v>1</v>
      </c>
      <c r="E115" s="266">
        <v>18.62962962962963</v>
      </c>
      <c r="F115" s="210"/>
      <c r="G115" s="222"/>
      <c r="H115" s="221"/>
      <c r="I115" s="210"/>
      <c r="J115" s="222"/>
      <c r="K115" s="193"/>
    </row>
    <row r="116" spans="1:11" ht="12" customHeight="1" x14ac:dyDescent="0.2">
      <c r="B116" s="267" t="s">
        <v>500</v>
      </c>
      <c r="C116" s="246" t="s">
        <v>517</v>
      </c>
      <c r="D116" s="288">
        <v>1</v>
      </c>
      <c r="E116" s="266">
        <v>3.0123456790123453</v>
      </c>
      <c r="F116" s="210"/>
      <c r="G116" s="222"/>
      <c r="H116" s="221"/>
      <c r="I116" s="210"/>
      <c r="J116" s="222"/>
      <c r="K116" s="222"/>
    </row>
    <row r="117" spans="1:11" ht="12" customHeight="1" x14ac:dyDescent="0.2">
      <c r="B117" s="267" t="s">
        <v>395</v>
      </c>
      <c r="C117" s="246" t="s">
        <v>396</v>
      </c>
      <c r="D117" s="288">
        <v>0.05</v>
      </c>
      <c r="E117" s="266">
        <v>89.320987654320973</v>
      </c>
      <c r="F117" s="210"/>
      <c r="G117" s="222"/>
      <c r="H117" s="221"/>
      <c r="I117" s="210"/>
      <c r="J117" s="222"/>
      <c r="K117" s="222"/>
    </row>
    <row r="118" spans="1:11" ht="12" customHeight="1" x14ac:dyDescent="0.2">
      <c r="B118" s="267"/>
      <c r="C118" s="288"/>
      <c r="D118" s="288"/>
      <c r="E118" s="266">
        <v>0</v>
      </c>
      <c r="F118" s="210"/>
      <c r="G118" s="222"/>
      <c r="H118" s="221"/>
      <c r="I118" s="210"/>
      <c r="J118" s="222"/>
      <c r="K118" s="222"/>
    </row>
    <row r="119" spans="1:11" ht="12" customHeight="1" x14ac:dyDescent="0.2">
      <c r="B119" s="267"/>
      <c r="C119" s="315" t="s">
        <v>625</v>
      </c>
      <c r="D119" s="288"/>
      <c r="E119" s="266">
        <v>0</v>
      </c>
      <c r="F119" s="210"/>
      <c r="G119" s="222"/>
      <c r="I119" s="210"/>
      <c r="J119" s="222"/>
      <c r="K119" s="222"/>
    </row>
    <row r="120" spans="1:11" ht="12" customHeight="1" x14ac:dyDescent="0.2">
      <c r="B120" s="219" t="s">
        <v>178</v>
      </c>
      <c r="C120" s="283" t="s">
        <v>178</v>
      </c>
      <c r="D120" s="288"/>
      <c r="E120" s="266">
        <v>0</v>
      </c>
      <c r="F120" s="210"/>
      <c r="G120" s="222"/>
      <c r="I120" s="210"/>
      <c r="J120" s="222"/>
      <c r="K120" s="222"/>
    </row>
    <row r="121" spans="1:11" ht="12" customHeight="1" x14ac:dyDescent="0.2">
      <c r="B121" s="267" t="s">
        <v>401</v>
      </c>
      <c r="C121" s="246" t="s">
        <v>402</v>
      </c>
      <c r="D121" s="288">
        <v>1</v>
      </c>
      <c r="E121" s="266">
        <v>9.9382716049382722</v>
      </c>
      <c r="F121" s="210"/>
      <c r="G121" s="222"/>
      <c r="H121" s="221"/>
      <c r="I121" s="210"/>
      <c r="J121" s="222"/>
      <c r="K121" s="222"/>
    </row>
    <row r="122" spans="1:11" ht="12" customHeight="1" x14ac:dyDescent="0.2">
      <c r="B122" s="267" t="s">
        <v>444</v>
      </c>
      <c r="C122" s="246" t="s">
        <v>445</v>
      </c>
      <c r="D122" s="288">
        <v>1</v>
      </c>
      <c r="E122" s="266">
        <v>7.530864197530863</v>
      </c>
      <c r="F122" s="210"/>
      <c r="G122" s="222"/>
      <c r="H122" s="221"/>
      <c r="I122" s="210"/>
      <c r="J122" s="222"/>
      <c r="K122" s="222"/>
    </row>
    <row r="123" spans="1:11" ht="12" customHeight="1" x14ac:dyDescent="0.2">
      <c r="B123" s="267"/>
      <c r="C123" s="315"/>
      <c r="D123" s="288"/>
      <c r="E123" s="266">
        <v>0</v>
      </c>
      <c r="F123" s="210"/>
      <c r="G123" s="222"/>
      <c r="H123" s="221"/>
      <c r="I123" s="210"/>
      <c r="J123" s="222"/>
      <c r="K123" s="222"/>
    </row>
    <row r="124" spans="1:11" ht="12" customHeight="1" x14ac:dyDescent="0.2">
      <c r="B124" s="267"/>
      <c r="C124" s="315" t="s">
        <v>626</v>
      </c>
      <c r="D124" s="288"/>
      <c r="E124" s="266">
        <v>0</v>
      </c>
      <c r="F124" s="210"/>
      <c r="G124" s="222"/>
      <c r="H124" s="221"/>
      <c r="I124" s="210"/>
      <c r="J124" s="222"/>
      <c r="K124" s="222"/>
    </row>
    <row r="125" spans="1:11" ht="12" customHeight="1" x14ac:dyDescent="0.2">
      <c r="B125" s="219" t="s">
        <v>178</v>
      </c>
      <c r="C125" s="283" t="s">
        <v>178</v>
      </c>
      <c r="D125" s="288"/>
      <c r="E125" s="266">
        <v>0</v>
      </c>
      <c r="F125" s="210"/>
      <c r="G125" s="222"/>
      <c r="H125" s="221"/>
      <c r="I125" s="210"/>
      <c r="J125" s="222"/>
      <c r="K125" s="222"/>
    </row>
    <row r="126" spans="1:11" ht="12" customHeight="1" x14ac:dyDescent="0.2">
      <c r="B126" s="267" t="s">
        <v>280</v>
      </c>
      <c r="C126" s="246" t="s">
        <v>281</v>
      </c>
      <c r="D126" s="288">
        <v>1</v>
      </c>
      <c r="E126" s="266">
        <v>71.851851851851848</v>
      </c>
      <c r="F126" s="210"/>
      <c r="G126" s="222"/>
      <c r="H126" s="221"/>
      <c r="I126" s="210"/>
      <c r="J126" s="222"/>
      <c r="K126" s="222"/>
    </row>
    <row r="127" spans="1:11" ht="12" customHeight="1" x14ac:dyDescent="0.2">
      <c r="B127" s="267" t="s">
        <v>516</v>
      </c>
      <c r="C127" s="246" t="s">
        <v>343</v>
      </c>
      <c r="D127" s="288">
        <v>1</v>
      </c>
      <c r="E127" s="266">
        <v>49.679012345679013</v>
      </c>
      <c r="F127" s="193"/>
      <c r="G127" s="222"/>
      <c r="H127" s="221"/>
      <c r="I127" s="210"/>
      <c r="J127" s="222"/>
      <c r="K127" s="193"/>
    </row>
    <row r="128" spans="1:11" ht="12" customHeight="1" x14ac:dyDescent="0.2">
      <c r="B128" s="267" t="s">
        <v>127</v>
      </c>
      <c r="C128" s="246" t="s">
        <v>394</v>
      </c>
      <c r="D128" s="288">
        <v>4</v>
      </c>
      <c r="E128" s="266">
        <v>2.4691358024691357E-2</v>
      </c>
      <c r="F128" s="193"/>
      <c r="G128" s="222"/>
      <c r="H128" s="221"/>
      <c r="I128" s="210"/>
      <c r="J128" s="222"/>
      <c r="K128" s="193"/>
    </row>
    <row r="129" spans="1:13" ht="12" customHeight="1" x14ac:dyDescent="0.2">
      <c r="B129" s="311">
        <v>9827049</v>
      </c>
      <c r="C129" s="246" t="s">
        <v>162</v>
      </c>
      <c r="D129" s="288" t="s">
        <v>691</v>
      </c>
      <c r="E129" s="266">
        <v>2.7037037037037033</v>
      </c>
      <c r="F129" s="193"/>
      <c r="G129" s="222"/>
      <c r="H129" s="221"/>
      <c r="I129" s="210"/>
      <c r="J129" s="222"/>
      <c r="K129" s="193"/>
    </row>
    <row r="130" spans="1:13" ht="12" customHeight="1" x14ac:dyDescent="0.2">
      <c r="B130" s="267"/>
      <c r="C130" s="288"/>
      <c r="D130" s="288"/>
      <c r="E130" s="266">
        <v>0</v>
      </c>
      <c r="F130" s="193"/>
      <c r="G130" s="222"/>
      <c r="H130" s="221"/>
      <c r="I130" s="210"/>
      <c r="J130" s="222"/>
      <c r="K130" s="193"/>
    </row>
    <row r="131" spans="1:13" ht="12" customHeight="1" x14ac:dyDescent="0.2">
      <c r="B131" s="219" t="s">
        <v>178</v>
      </c>
      <c r="C131" s="283" t="s">
        <v>178</v>
      </c>
      <c r="D131" s="288"/>
      <c r="E131" s="266">
        <v>0</v>
      </c>
      <c r="F131" s="193"/>
      <c r="G131" s="222"/>
      <c r="H131" s="221"/>
      <c r="I131" s="210"/>
      <c r="J131" s="222"/>
      <c r="K131" s="193"/>
    </row>
    <row r="132" spans="1:13" ht="12" customHeight="1" x14ac:dyDescent="0.2">
      <c r="B132" s="314"/>
      <c r="C132" s="285" t="s">
        <v>629</v>
      </c>
      <c r="D132" s="288"/>
      <c r="E132" s="266">
        <v>0</v>
      </c>
      <c r="F132" s="210"/>
      <c r="G132" s="222"/>
      <c r="I132" s="210"/>
      <c r="J132" s="222"/>
      <c r="K132" s="222"/>
    </row>
    <row r="133" spans="1:13" ht="12" customHeight="1" x14ac:dyDescent="0.2">
      <c r="B133" s="267"/>
      <c r="C133" s="285" t="s">
        <v>627</v>
      </c>
      <c r="D133" s="265"/>
      <c r="E133" s="266">
        <v>0</v>
      </c>
      <c r="F133" s="210"/>
      <c r="G133" s="222"/>
      <c r="I133" s="210"/>
      <c r="J133" s="222"/>
      <c r="K133" s="222"/>
    </row>
    <row r="134" spans="1:13" ht="12" customHeight="1" x14ac:dyDescent="0.2">
      <c r="A134" s="248"/>
      <c r="B134" s="267" t="s">
        <v>197</v>
      </c>
      <c r="C134" s="265" t="s">
        <v>198</v>
      </c>
      <c r="D134" s="265">
        <v>1</v>
      </c>
      <c r="E134" s="266">
        <v>17.209876543209873</v>
      </c>
      <c r="F134" s="210"/>
      <c r="G134" s="222"/>
      <c r="H134" s="221"/>
      <c r="I134" s="210"/>
      <c r="J134" s="222"/>
      <c r="K134" s="222"/>
    </row>
    <row r="135" spans="1:13" ht="12" customHeight="1" x14ac:dyDescent="0.2">
      <c r="A135" s="248"/>
      <c r="B135" s="314" t="s">
        <v>243</v>
      </c>
      <c r="C135" s="265" t="s">
        <v>244</v>
      </c>
      <c r="D135" s="265">
        <v>1</v>
      </c>
      <c r="E135" s="266">
        <v>0</v>
      </c>
      <c r="F135" s="210"/>
      <c r="G135" s="222"/>
      <c r="H135" s="221"/>
      <c r="I135" s="210"/>
      <c r="J135" s="222"/>
      <c r="K135" s="222"/>
    </row>
    <row r="136" spans="1:13" ht="12" customHeight="1" x14ac:dyDescent="0.2">
      <c r="A136" s="248"/>
      <c r="B136" s="314" t="s">
        <v>113</v>
      </c>
      <c r="C136" s="265" t="s">
        <v>628</v>
      </c>
      <c r="D136" s="265">
        <v>1</v>
      </c>
      <c r="E136" s="266">
        <v>19.012345679012345</v>
      </c>
      <c r="F136" s="210"/>
      <c r="G136" s="222"/>
      <c r="H136" s="221"/>
      <c r="I136" s="210"/>
      <c r="J136" s="222"/>
      <c r="K136" s="222"/>
    </row>
    <row r="137" spans="1:13" ht="12" customHeight="1" x14ac:dyDescent="0.2">
      <c r="A137" s="248"/>
      <c r="B137" s="314"/>
      <c r="C137" s="316"/>
      <c r="D137" s="265"/>
      <c r="E137" s="266">
        <v>0</v>
      </c>
      <c r="F137" s="210"/>
      <c r="G137" s="222"/>
      <c r="H137" s="221"/>
      <c r="I137" s="210"/>
      <c r="J137" s="222"/>
      <c r="K137" s="222"/>
    </row>
    <row r="138" spans="1:13" ht="12" customHeight="1" x14ac:dyDescent="0.2">
      <c r="A138" s="248"/>
      <c r="B138" s="314"/>
      <c r="C138" s="285" t="s">
        <v>629</v>
      </c>
      <c r="D138" s="265"/>
      <c r="E138" s="266">
        <v>0</v>
      </c>
      <c r="F138" s="210"/>
      <c r="G138" s="222"/>
      <c r="H138" s="221"/>
      <c r="I138" s="210"/>
      <c r="J138" s="222"/>
      <c r="K138" s="222"/>
    </row>
    <row r="139" spans="1:13" ht="12" customHeight="1" x14ac:dyDescent="0.2">
      <c r="A139" s="248"/>
      <c r="B139" s="267" t="s">
        <v>133</v>
      </c>
      <c r="C139" s="265" t="s">
        <v>630</v>
      </c>
      <c r="D139" s="265">
        <v>1</v>
      </c>
      <c r="E139" s="266">
        <v>13.135802469135802</v>
      </c>
      <c r="F139" s="210"/>
      <c r="G139" s="222"/>
      <c r="H139" s="221"/>
      <c r="I139" s="210"/>
      <c r="J139" s="222"/>
      <c r="K139" s="222"/>
    </row>
    <row r="140" spans="1:13" ht="12" customHeight="1" x14ac:dyDescent="0.2">
      <c r="A140" s="248"/>
      <c r="B140" s="314" t="s">
        <v>78</v>
      </c>
      <c r="C140" s="265" t="s">
        <v>631</v>
      </c>
      <c r="D140" s="265">
        <v>1</v>
      </c>
      <c r="E140" s="266">
        <v>12.345679012345679</v>
      </c>
      <c r="F140" s="210"/>
      <c r="G140" s="222"/>
      <c r="H140" s="221"/>
      <c r="I140" s="210"/>
      <c r="J140" s="229"/>
      <c r="K140" s="229"/>
      <c r="L140" s="248"/>
      <c r="M140" s="248"/>
    </row>
    <row r="141" spans="1:13" ht="12" customHeight="1" x14ac:dyDescent="0.2">
      <c r="B141" s="314" t="s">
        <v>136</v>
      </c>
      <c r="C141" s="316" t="s">
        <v>137</v>
      </c>
      <c r="D141" s="265">
        <v>1</v>
      </c>
      <c r="E141" s="266">
        <v>11.925925925925926</v>
      </c>
      <c r="F141" s="210"/>
      <c r="G141" s="222"/>
      <c r="H141" s="221"/>
      <c r="I141" s="210"/>
      <c r="J141" s="229"/>
      <c r="K141" s="229"/>
      <c r="L141" s="248"/>
      <c r="M141" s="248"/>
    </row>
    <row r="142" spans="1:13" s="304" customFormat="1" ht="12" customHeight="1" x14ac:dyDescent="0.2">
      <c r="B142" s="267"/>
      <c r="C142" s="265"/>
      <c r="D142" s="265"/>
      <c r="E142" s="266">
        <v>0</v>
      </c>
      <c r="F142" s="266"/>
      <c r="G142" s="222"/>
      <c r="H142" s="244"/>
      <c r="I142" s="266"/>
      <c r="J142" s="229"/>
      <c r="K142" s="229"/>
      <c r="L142" s="248"/>
      <c r="M142" s="248"/>
    </row>
    <row r="143" spans="1:13" s="304" customFormat="1" ht="12" customHeight="1" x14ac:dyDescent="0.2">
      <c r="B143" s="267"/>
      <c r="C143" s="285" t="s">
        <v>199</v>
      </c>
      <c r="D143" s="265"/>
      <c r="E143" s="266">
        <v>0</v>
      </c>
      <c r="F143" s="266"/>
      <c r="G143" s="222"/>
      <c r="H143" s="221"/>
      <c r="I143" s="210"/>
      <c r="J143" s="229"/>
      <c r="K143" s="229"/>
      <c r="L143" s="248"/>
      <c r="M143" s="248"/>
    </row>
    <row r="144" spans="1:13" s="304" customFormat="1" ht="12" customHeight="1" x14ac:dyDescent="0.2">
      <c r="B144" s="267" t="s">
        <v>632</v>
      </c>
      <c r="C144" s="265" t="s">
        <v>633</v>
      </c>
      <c r="D144" s="265"/>
      <c r="E144" s="266">
        <v>2.9629629629629628</v>
      </c>
      <c r="F144" s="266"/>
      <c r="G144" s="222"/>
      <c r="H144" s="221"/>
      <c r="I144" s="210"/>
      <c r="J144" s="229"/>
      <c r="K144" s="229"/>
      <c r="L144" s="248"/>
      <c r="M144" s="248"/>
    </row>
    <row r="145" spans="2:13" s="304" customFormat="1" ht="12" customHeight="1" x14ac:dyDescent="0.2">
      <c r="B145" s="267"/>
      <c r="C145" s="317" t="s">
        <v>200</v>
      </c>
      <c r="D145" s="265"/>
      <c r="E145" s="266">
        <v>0</v>
      </c>
      <c r="F145" s="266"/>
      <c r="G145" s="222"/>
      <c r="H145" s="221"/>
      <c r="I145" s="210"/>
      <c r="J145" s="229"/>
      <c r="K145" s="229"/>
      <c r="L145" s="248"/>
      <c r="M145" s="248"/>
    </row>
    <row r="146" spans="2:13" s="304" customFormat="1" ht="12" customHeight="1" x14ac:dyDescent="0.2">
      <c r="B146" s="318" t="s">
        <v>375</v>
      </c>
      <c r="C146" s="316" t="s">
        <v>376</v>
      </c>
      <c r="D146" s="265"/>
      <c r="E146" s="266">
        <v>60.987654320987652</v>
      </c>
      <c r="F146" s="266"/>
      <c r="G146" s="222"/>
      <c r="H146" s="221"/>
      <c r="I146" s="210"/>
      <c r="J146" s="229"/>
      <c r="K146" s="229"/>
      <c r="L146" s="248"/>
      <c r="M146" s="248"/>
    </row>
    <row r="147" spans="2:13" s="304" customFormat="1" ht="12" customHeight="1" x14ac:dyDescent="0.2">
      <c r="B147" s="318" t="s">
        <v>91</v>
      </c>
      <c r="C147" s="316" t="s">
        <v>92</v>
      </c>
      <c r="D147" s="265"/>
      <c r="E147" s="266">
        <v>0.67901234567901236</v>
      </c>
      <c r="F147" s="266"/>
      <c r="G147" s="222"/>
      <c r="H147" s="221"/>
      <c r="I147" s="210"/>
      <c r="J147" s="229"/>
      <c r="K147" s="229"/>
      <c r="L147" s="248"/>
      <c r="M147" s="248"/>
    </row>
    <row r="148" spans="2:13" s="304" customFormat="1" ht="12" customHeight="1" x14ac:dyDescent="0.2">
      <c r="B148" s="318" t="s">
        <v>217</v>
      </c>
      <c r="C148" s="316" t="s">
        <v>228</v>
      </c>
      <c r="D148" s="265"/>
      <c r="E148" s="266">
        <v>0.87654320987654311</v>
      </c>
      <c r="F148" s="266"/>
      <c r="G148" s="222"/>
      <c r="H148" s="221"/>
      <c r="I148" s="210"/>
      <c r="J148" s="229"/>
      <c r="K148" s="229"/>
      <c r="L148" s="248"/>
      <c r="M148" s="248"/>
    </row>
    <row r="149" spans="2:13" s="304" customFormat="1" ht="12" customHeight="1" x14ac:dyDescent="0.2">
      <c r="B149" s="318">
        <v>2686106</v>
      </c>
      <c r="C149" s="316" t="s">
        <v>37</v>
      </c>
      <c r="D149" s="265"/>
      <c r="E149" s="266">
        <v>5.5555555555555554</v>
      </c>
      <c r="F149" s="266"/>
      <c r="G149" s="222"/>
      <c r="H149" s="221"/>
      <c r="I149" s="210"/>
      <c r="J149" s="229"/>
      <c r="K149" s="229"/>
      <c r="L149" s="248"/>
      <c r="M149" s="248"/>
    </row>
    <row r="150" spans="2:13" s="304" customFormat="1" ht="12" customHeight="1" x14ac:dyDescent="0.2">
      <c r="B150" s="267"/>
      <c r="C150" s="317" t="s">
        <v>634</v>
      </c>
      <c r="D150" s="265"/>
      <c r="E150" s="266">
        <v>0</v>
      </c>
      <c r="F150" s="266"/>
      <c r="G150" s="222"/>
      <c r="H150" s="221"/>
      <c r="I150" s="210"/>
      <c r="J150" s="229"/>
      <c r="K150" s="229"/>
      <c r="L150" s="248"/>
      <c r="M150" s="248"/>
    </row>
    <row r="151" spans="2:13" s="304" customFormat="1" ht="12" customHeight="1" x14ac:dyDescent="0.2">
      <c r="B151" s="319" t="s">
        <v>375</v>
      </c>
      <c r="C151" s="320" t="s">
        <v>376</v>
      </c>
      <c r="D151" s="265"/>
      <c r="E151" s="266">
        <v>60.987654320987652</v>
      </c>
      <c r="F151" s="266"/>
      <c r="G151" s="222"/>
      <c r="H151" s="221"/>
      <c r="I151" s="210"/>
      <c r="J151" s="229"/>
      <c r="K151" s="229"/>
      <c r="L151" s="248"/>
      <c r="M151" s="248"/>
    </row>
    <row r="152" spans="2:13" s="304" customFormat="1" ht="12" customHeight="1" x14ac:dyDescent="0.2">
      <c r="B152" s="319" t="s">
        <v>132</v>
      </c>
      <c r="C152" s="320" t="s">
        <v>236</v>
      </c>
      <c r="D152" s="265"/>
      <c r="E152" s="266">
        <v>35.987654320987652</v>
      </c>
      <c r="F152" s="266"/>
      <c r="G152" s="222"/>
      <c r="H152" s="221"/>
      <c r="I152" s="210"/>
      <c r="J152" s="229"/>
      <c r="K152" s="229"/>
      <c r="L152" s="248"/>
      <c r="M152" s="248"/>
    </row>
    <row r="153" spans="2:13" s="304" customFormat="1" ht="12" customHeight="1" x14ac:dyDescent="0.2">
      <c r="B153" s="319" t="s">
        <v>144</v>
      </c>
      <c r="C153" s="320" t="s">
        <v>145</v>
      </c>
      <c r="D153" s="265"/>
      <c r="E153" s="266">
        <v>78.197530864197532</v>
      </c>
      <c r="F153" s="266"/>
      <c r="G153" s="222"/>
      <c r="H153" s="221"/>
      <c r="I153" s="210"/>
      <c r="J153" s="229"/>
      <c r="K153" s="229"/>
      <c r="L153" s="248"/>
      <c r="M153" s="248"/>
    </row>
    <row r="154" spans="2:13" s="304" customFormat="1" ht="12" customHeight="1" x14ac:dyDescent="0.2">
      <c r="B154" s="321">
        <v>9824541</v>
      </c>
      <c r="C154" s="320" t="s">
        <v>810</v>
      </c>
      <c r="D154" s="265"/>
      <c r="E154" s="266">
        <v>1.2345679012345678E-2</v>
      </c>
      <c r="F154" s="266"/>
      <c r="G154" s="222"/>
      <c r="H154" s="221"/>
      <c r="I154" s="210"/>
      <c r="J154" s="229"/>
      <c r="K154" s="229"/>
      <c r="L154" s="248"/>
      <c r="M154" s="248"/>
    </row>
    <row r="155" spans="2:13" s="304" customFormat="1" ht="12" customHeight="1" x14ac:dyDescent="0.2">
      <c r="B155" s="319" t="s">
        <v>138</v>
      </c>
      <c r="C155" s="320" t="s">
        <v>635</v>
      </c>
      <c r="D155" s="265"/>
      <c r="E155" s="266">
        <v>8.8395061728395063</v>
      </c>
      <c r="F155" s="266"/>
      <c r="G155" s="222"/>
      <c r="H155" s="221"/>
      <c r="I155" s="210"/>
      <c r="J155" s="229"/>
      <c r="K155" s="229"/>
      <c r="L155" s="248"/>
      <c r="M155" s="248"/>
    </row>
    <row r="156" spans="2:13" s="304" customFormat="1" ht="12" customHeight="1" x14ac:dyDescent="0.2">
      <c r="B156" s="319" t="s">
        <v>498</v>
      </c>
      <c r="C156" s="320" t="s">
        <v>499</v>
      </c>
      <c r="D156" s="265"/>
      <c r="E156" s="266">
        <v>9.1111111111111107</v>
      </c>
      <c r="F156" s="266"/>
      <c r="G156" s="222"/>
      <c r="H156" s="221"/>
      <c r="I156" s="210"/>
      <c r="J156" s="229"/>
      <c r="K156" s="229"/>
      <c r="L156" s="248"/>
      <c r="M156" s="248"/>
    </row>
    <row r="157" spans="2:13" s="304" customFormat="1" ht="12" customHeight="1" x14ac:dyDescent="0.2">
      <c r="B157" s="319" t="s">
        <v>17</v>
      </c>
      <c r="C157" s="320" t="s">
        <v>126</v>
      </c>
      <c r="D157" s="265"/>
      <c r="E157" s="266">
        <v>8.6419753086419762E-2</v>
      </c>
      <c r="F157" s="266"/>
      <c r="G157" s="222"/>
      <c r="H157" s="221"/>
      <c r="I157" s="210"/>
      <c r="J157" s="229"/>
      <c r="K157" s="229"/>
      <c r="L157" s="248"/>
      <c r="M157" s="248"/>
    </row>
    <row r="158" spans="2:13" s="304" customFormat="1" ht="12" customHeight="1" x14ac:dyDescent="0.2">
      <c r="B158" s="319" t="s">
        <v>151</v>
      </c>
      <c r="C158" s="320" t="s">
        <v>811</v>
      </c>
      <c r="D158" s="265"/>
      <c r="E158" s="266">
        <v>0.24691358024691357</v>
      </c>
      <c r="F158" s="266"/>
      <c r="G158" s="222"/>
      <c r="H158" s="221"/>
      <c r="I158" s="210"/>
      <c r="J158" s="229"/>
      <c r="K158" s="229"/>
      <c r="L158" s="248"/>
      <c r="M158" s="248"/>
    </row>
    <row r="159" spans="2:13" s="304" customFormat="1" ht="12" customHeight="1" x14ac:dyDescent="0.2">
      <c r="B159" s="267"/>
      <c r="C159" s="265"/>
      <c r="D159" s="265"/>
      <c r="E159" s="266">
        <v>0</v>
      </c>
      <c r="F159" s="266"/>
      <c r="G159" s="222"/>
      <c r="H159" s="221"/>
      <c r="I159" s="210"/>
      <c r="J159" s="229"/>
      <c r="K159" s="229"/>
      <c r="L159" s="248"/>
      <c r="M159" s="248"/>
    </row>
    <row r="160" spans="2:13" s="304" customFormat="1" ht="12" customHeight="1" x14ac:dyDescent="0.2">
      <c r="B160" s="267"/>
      <c r="C160" s="285" t="s">
        <v>636</v>
      </c>
      <c r="D160" s="265"/>
      <c r="E160" s="266">
        <v>0</v>
      </c>
      <c r="F160" s="266"/>
      <c r="G160" s="222"/>
      <c r="H160" s="221"/>
      <c r="I160" s="210"/>
      <c r="J160" s="229"/>
      <c r="K160" s="193"/>
      <c r="L160" s="248"/>
      <c r="M160" s="248"/>
    </row>
    <row r="161" spans="1:13" s="304" customFormat="1" ht="12" customHeight="1" x14ac:dyDescent="0.2">
      <c r="B161" s="219" t="s">
        <v>178</v>
      </c>
      <c r="C161" s="283" t="s">
        <v>178</v>
      </c>
      <c r="D161" s="265"/>
      <c r="E161" s="266">
        <v>0</v>
      </c>
      <c r="F161" s="266"/>
      <c r="G161" s="222"/>
      <c r="H161" s="221"/>
      <c r="I161" s="210"/>
      <c r="J161" s="229"/>
      <c r="K161" s="193">
        <v>0</v>
      </c>
      <c r="L161" s="248"/>
      <c r="M161" s="248"/>
    </row>
    <row r="162" spans="1:13" s="304" customFormat="1" ht="12" customHeight="1" x14ac:dyDescent="0.2">
      <c r="A162" s="304" t="s">
        <v>68</v>
      </c>
      <c r="B162" s="267" t="s">
        <v>485</v>
      </c>
      <c r="C162" s="265" t="s">
        <v>486</v>
      </c>
      <c r="D162" s="265">
        <v>1</v>
      </c>
      <c r="E162" s="266">
        <v>154.32098765432099</v>
      </c>
      <c r="F162" s="266"/>
      <c r="G162" s="222"/>
      <c r="H162" s="221"/>
      <c r="I162" s="210"/>
      <c r="J162" s="229"/>
      <c r="K162" s="222" t="s">
        <v>68</v>
      </c>
      <c r="L162" s="248"/>
      <c r="M162" s="248"/>
    </row>
    <row r="163" spans="1:13" s="304" customFormat="1" ht="12" customHeight="1" x14ac:dyDescent="0.2">
      <c r="A163" s="304">
        <v>0</v>
      </c>
      <c r="B163" s="267">
        <v>9990544</v>
      </c>
      <c r="C163" s="265" t="s">
        <v>251</v>
      </c>
      <c r="D163" s="265">
        <v>1</v>
      </c>
      <c r="E163" s="266">
        <v>0</v>
      </c>
      <c r="F163" s="266"/>
      <c r="G163" s="222"/>
      <c r="H163" s="221"/>
      <c r="I163" s="210"/>
      <c r="J163" s="229"/>
      <c r="K163" s="222">
        <v>10</v>
      </c>
      <c r="L163" s="248"/>
      <c r="M163" s="248"/>
    </row>
    <row r="164" spans="1:13" s="304" customFormat="1" ht="12" customHeight="1" x14ac:dyDescent="0.2">
      <c r="A164" s="304">
        <v>10</v>
      </c>
      <c r="B164" s="267">
        <v>6506327</v>
      </c>
      <c r="C164" s="265" t="s">
        <v>335</v>
      </c>
      <c r="D164" s="265">
        <v>1</v>
      </c>
      <c r="E164" s="266">
        <v>123.45679012345678</v>
      </c>
      <c r="F164" s="266"/>
      <c r="G164" s="222"/>
      <c r="H164" s="221"/>
      <c r="I164" s="210"/>
      <c r="J164" s="229"/>
      <c r="K164" s="222"/>
      <c r="L164" s="248"/>
      <c r="M164" s="248"/>
    </row>
    <row r="165" spans="1:13" s="304" customFormat="1" ht="12" customHeight="1" x14ac:dyDescent="0.2">
      <c r="B165" s="267" t="s">
        <v>153</v>
      </c>
      <c r="C165" s="246" t="s">
        <v>154</v>
      </c>
      <c r="D165" s="265">
        <v>1</v>
      </c>
      <c r="E165" s="266">
        <v>0</v>
      </c>
      <c r="F165" s="266"/>
      <c r="G165" s="222"/>
      <c r="H165" s="221"/>
      <c r="I165" s="210"/>
      <c r="J165" s="229"/>
      <c r="K165" s="222"/>
      <c r="L165" s="248"/>
      <c r="M165" s="248"/>
    </row>
    <row r="166" spans="1:13" s="304" customFormat="1" ht="12" customHeight="1" x14ac:dyDescent="0.2">
      <c r="A166" s="304" t="s">
        <v>256</v>
      </c>
      <c r="B166" s="267"/>
      <c r="C166" s="265"/>
      <c r="D166" s="265"/>
      <c r="E166" s="266">
        <v>0</v>
      </c>
      <c r="F166" s="266"/>
      <c r="G166" s="222"/>
      <c r="H166" s="244"/>
      <c r="I166" s="266"/>
      <c r="J166" s="229"/>
      <c r="K166" s="222"/>
      <c r="L166" s="248"/>
      <c r="M166" s="248"/>
    </row>
    <row r="167" spans="1:13" s="304" customFormat="1" ht="12" customHeight="1" x14ac:dyDescent="0.2">
      <c r="A167" s="304" t="s">
        <v>257</v>
      </c>
      <c r="B167" s="267"/>
      <c r="C167" s="285" t="s">
        <v>397</v>
      </c>
      <c r="D167" s="265"/>
      <c r="E167" s="266">
        <v>0</v>
      </c>
      <c r="F167" s="266"/>
      <c r="G167" s="222"/>
      <c r="H167" s="221"/>
      <c r="I167" s="210"/>
      <c r="J167" s="229"/>
      <c r="K167" s="222"/>
      <c r="L167" s="248"/>
      <c r="M167" s="248"/>
    </row>
    <row r="168" spans="1:13" s="304" customFormat="1" ht="12" customHeight="1" x14ac:dyDescent="0.2">
      <c r="A168" s="193" t="s">
        <v>522</v>
      </c>
      <c r="B168" s="267" t="s">
        <v>685</v>
      </c>
      <c r="C168" s="246" t="s">
        <v>686</v>
      </c>
      <c r="D168" s="265">
        <v>1</v>
      </c>
      <c r="E168" s="266">
        <v>0</v>
      </c>
      <c r="F168" s="266"/>
      <c r="G168" s="222"/>
      <c r="H168" s="221"/>
      <c r="I168" s="210"/>
      <c r="J168" s="229"/>
      <c r="K168" s="229"/>
      <c r="L168" s="248"/>
      <c r="M168" s="248"/>
    </row>
    <row r="169" spans="1:13" s="248" customFormat="1" ht="12" customHeight="1" x14ac:dyDescent="0.2">
      <c r="A169" s="193" t="s">
        <v>521</v>
      </c>
      <c r="B169" s="267" t="s">
        <v>687</v>
      </c>
      <c r="C169" s="246" t="s">
        <v>688</v>
      </c>
      <c r="D169" s="265">
        <v>1</v>
      </c>
      <c r="E169" s="266">
        <v>0</v>
      </c>
      <c r="F169" s="235"/>
      <c r="G169" s="222"/>
      <c r="H169" s="244"/>
      <c r="I169" s="235"/>
      <c r="J169" s="229"/>
      <c r="K169" s="229"/>
    </row>
    <row r="170" spans="1:13" ht="12" customHeight="1" x14ac:dyDescent="0.2">
      <c r="B170" s="267"/>
      <c r="C170" s="246"/>
      <c r="D170" s="220"/>
      <c r="E170" s="266"/>
      <c r="F170" s="210"/>
      <c r="G170" s="222"/>
      <c r="H170" s="221"/>
      <c r="I170" s="210"/>
      <c r="J170" s="222"/>
      <c r="K170" s="222"/>
    </row>
    <row r="171" spans="1:13" ht="12" customHeight="1" x14ac:dyDescent="0.2">
      <c r="B171" s="267"/>
      <c r="C171" s="246" t="s">
        <v>2</v>
      </c>
      <c r="D171" s="220"/>
      <c r="E171" s="266"/>
      <c r="F171" s="210"/>
      <c r="G171" s="222"/>
      <c r="H171" s="221"/>
      <c r="I171" s="210"/>
      <c r="J171" s="222"/>
      <c r="K171" s="222"/>
    </row>
    <row r="172" spans="1:13" x14ac:dyDescent="0.2">
      <c r="B172" s="267">
        <v>136</v>
      </c>
      <c r="C172" s="246" t="s">
        <v>79</v>
      </c>
      <c r="D172" s="220">
        <v>1</v>
      </c>
      <c r="E172" s="266">
        <v>0</v>
      </c>
      <c r="F172" s="210"/>
      <c r="G172" s="222"/>
      <c r="H172" s="221"/>
      <c r="I172" s="210"/>
      <c r="J172" s="222"/>
      <c r="K172" s="222"/>
    </row>
    <row r="173" spans="1:13" x14ac:dyDescent="0.2">
      <c r="B173" s="267">
        <v>148</v>
      </c>
      <c r="C173" s="246" t="s">
        <v>80</v>
      </c>
      <c r="D173" s="220">
        <v>1</v>
      </c>
      <c r="E173" s="266">
        <v>0.05</v>
      </c>
      <c r="F173" s="210"/>
      <c r="G173" s="222"/>
      <c r="H173" s="221"/>
      <c r="I173" s="210"/>
      <c r="J173" s="222"/>
      <c r="K173" s="222"/>
    </row>
    <row r="174" spans="1:13" x14ac:dyDescent="0.2">
      <c r="B174" s="267">
        <v>160</v>
      </c>
      <c r="C174" s="246" t="s">
        <v>81</v>
      </c>
      <c r="D174" s="220">
        <v>1</v>
      </c>
      <c r="E174" s="266">
        <v>0.10249999999999999</v>
      </c>
      <c r="F174" s="210"/>
      <c r="G174" s="222"/>
      <c r="H174" s="221"/>
      <c r="I174" s="210"/>
      <c r="J174" s="222"/>
      <c r="K174" s="222"/>
    </row>
    <row r="175" spans="1:13" x14ac:dyDescent="0.2">
      <c r="B175" s="267" t="s">
        <v>24</v>
      </c>
      <c r="C175" s="246" t="s">
        <v>106</v>
      </c>
      <c r="D175" s="220">
        <v>1</v>
      </c>
      <c r="E175" s="266">
        <v>0.02</v>
      </c>
      <c r="F175" s="210"/>
      <c r="G175" s="222"/>
      <c r="H175" s="221"/>
      <c r="I175" s="210"/>
      <c r="J175" s="222"/>
      <c r="K175" s="222"/>
    </row>
    <row r="176" spans="1:13" x14ac:dyDescent="0.2">
      <c r="B176" s="267" t="s">
        <v>25</v>
      </c>
      <c r="C176" s="246" t="s">
        <v>32</v>
      </c>
      <c r="D176" s="220">
        <v>1</v>
      </c>
      <c r="E176" s="266">
        <v>0.10299999999999999</v>
      </c>
      <c r="F176" s="210"/>
      <c r="G176" s="222"/>
      <c r="H176" s="221"/>
      <c r="I176" s="210"/>
      <c r="J176" s="222"/>
      <c r="K176" s="222"/>
    </row>
    <row r="177" spans="2:11" x14ac:dyDescent="0.2">
      <c r="B177" s="267" t="s">
        <v>26</v>
      </c>
      <c r="C177" s="246" t="s">
        <v>172</v>
      </c>
      <c r="D177" s="220">
        <v>1</v>
      </c>
      <c r="E177" s="266">
        <v>0.193</v>
      </c>
      <c r="F177" s="210"/>
      <c r="G177" s="222"/>
      <c r="H177" s="221"/>
      <c r="I177" s="210"/>
      <c r="J177" s="222"/>
      <c r="K177" s="222"/>
    </row>
    <row r="178" spans="2:11" x14ac:dyDescent="0.2">
      <c r="B178" s="267" t="s">
        <v>27</v>
      </c>
      <c r="C178" s="246" t="s">
        <v>30</v>
      </c>
      <c r="D178" s="220">
        <v>1</v>
      </c>
      <c r="E178" s="266">
        <v>0.14419999999999999</v>
      </c>
      <c r="F178" s="210"/>
      <c r="G178" s="222"/>
      <c r="H178" s="221"/>
      <c r="I178" s="210"/>
      <c r="J178" s="222"/>
      <c r="K178" s="222"/>
    </row>
    <row r="179" spans="2:11" x14ac:dyDescent="0.2">
      <c r="B179" s="267" t="s">
        <v>28</v>
      </c>
      <c r="C179" s="246" t="s">
        <v>31</v>
      </c>
      <c r="D179" s="220">
        <v>1</v>
      </c>
      <c r="E179" s="266">
        <v>0.27250000000000002</v>
      </c>
      <c r="F179" s="210"/>
      <c r="G179" s="222"/>
      <c r="H179" s="221"/>
      <c r="I179" s="210"/>
      <c r="J179" s="222"/>
      <c r="K179" s="222"/>
    </row>
    <row r="180" spans="2:11" x14ac:dyDescent="0.2">
      <c r="B180" s="267" t="s">
        <v>190</v>
      </c>
      <c r="C180" s="246" t="s">
        <v>191</v>
      </c>
      <c r="D180" s="220">
        <v>1</v>
      </c>
      <c r="E180" s="266">
        <v>0.41799999999999998</v>
      </c>
      <c r="F180" s="210"/>
      <c r="G180" s="222"/>
      <c r="H180" s="221"/>
      <c r="I180" s="210"/>
      <c r="J180" s="222"/>
      <c r="K180" s="222"/>
    </row>
    <row r="181" spans="2:11" x14ac:dyDescent="0.2">
      <c r="B181" s="241"/>
      <c r="C181" s="238"/>
      <c r="D181" s="238"/>
      <c r="E181" s="322"/>
      <c r="F181" s="238"/>
      <c r="G181" s="238"/>
      <c r="I181" s="238"/>
      <c r="J181" s="238"/>
      <c r="K181" s="238"/>
    </row>
    <row r="182" spans="2:11" x14ac:dyDescent="0.2">
      <c r="B182" s="241"/>
      <c r="C182" s="238"/>
      <c r="D182" s="238"/>
      <c r="E182" s="322"/>
      <c r="F182" s="238"/>
      <c r="G182" s="238"/>
      <c r="I182" s="238"/>
      <c r="J182" s="238"/>
      <c r="K182" s="238"/>
    </row>
    <row r="183" spans="2:11" x14ac:dyDescent="0.2">
      <c r="B183" s="241"/>
      <c r="C183" s="238"/>
      <c r="D183" s="238"/>
      <c r="E183" s="322"/>
      <c r="F183" s="238"/>
      <c r="G183" s="238"/>
      <c r="I183" s="238"/>
      <c r="J183" s="238"/>
      <c r="K183" s="238"/>
    </row>
    <row r="184" spans="2:11" x14ac:dyDescent="0.2">
      <c r="B184" s="241"/>
      <c r="C184" s="238"/>
      <c r="D184" s="238"/>
      <c r="E184" s="322"/>
      <c r="F184" s="238"/>
      <c r="G184" s="238"/>
      <c r="I184" s="238"/>
      <c r="J184" s="238"/>
      <c r="K184" s="238"/>
    </row>
    <row r="185" spans="2:11" x14ac:dyDescent="0.2">
      <c r="B185" s="241"/>
      <c r="C185" s="238"/>
      <c r="D185" s="238"/>
      <c r="E185" s="322"/>
      <c r="F185" s="238"/>
      <c r="G185" s="238"/>
      <c r="I185" s="238"/>
      <c r="J185" s="238"/>
      <c r="K185" s="238"/>
    </row>
    <row r="186" spans="2:11" x14ac:dyDescent="0.2">
      <c r="B186" s="241"/>
      <c r="C186" s="238"/>
      <c r="D186" s="238"/>
      <c r="E186" s="322"/>
      <c r="F186" s="238"/>
      <c r="G186" s="238"/>
      <c r="I186" s="238"/>
      <c r="J186" s="238"/>
      <c r="K186" s="238"/>
    </row>
  </sheetData>
  <sheetProtection algorithmName="SHA-512" hashValue="aZcRFuBa0z9EBrh565M9NlbBV1ydL2jXWP8qc1+CvquymglkYMF/TYZlCdS2aQxJ0uCsEYiazOk+puKbwpT9RQ==" saltValue="xy1fxjGlsUgNdTlalf2+dQ==" spinCount="100000" sheet="1" objects="1" scenarios="1" selectLockedCells="1"/>
  <conditionalFormatting sqref="H1:H2 H181:H1048576 H4 H119:H120 H132:H133 H142 H6:H15 H18:H102 H111:H114 H163:H170 H104:H107">
    <cfRule type="cellIs" dxfId="331" priority="96" operator="lessThan">
      <formula>-0.04</formula>
    </cfRule>
    <cfRule type="cellIs" dxfId="330" priority="97" operator="greaterThan">
      <formula>0.04</formula>
    </cfRule>
  </conditionalFormatting>
  <conditionalFormatting sqref="H171">
    <cfRule type="cellIs" dxfId="329" priority="92" operator="lessThan">
      <formula>-0.04</formula>
    </cfRule>
    <cfRule type="cellIs" dxfId="328" priority="93" operator="greaterThan">
      <formula>0.04</formula>
    </cfRule>
  </conditionalFormatting>
  <conditionalFormatting sqref="H5">
    <cfRule type="cellIs" dxfId="327" priority="90" operator="lessThan">
      <formula>-0.04</formula>
    </cfRule>
    <cfRule type="cellIs" dxfId="326" priority="91" operator="greaterThan">
      <formula>0.04</formula>
    </cfRule>
  </conditionalFormatting>
  <conditionalFormatting sqref="H143 H135:H140 H121:H123 H115:H118 H126 H159:H161">
    <cfRule type="cellIs" dxfId="325" priority="82" operator="lessThan">
      <formula>-0.04</formula>
    </cfRule>
    <cfRule type="cellIs" dxfId="324" priority="83" operator="greaterThan">
      <formula>0.04</formula>
    </cfRule>
  </conditionalFormatting>
  <conditionalFormatting sqref="H172:H180">
    <cfRule type="cellIs" dxfId="323" priority="78" operator="lessThan">
      <formula>-0.04</formula>
    </cfRule>
    <cfRule type="cellIs" dxfId="322" priority="79" operator="greaterThan">
      <formula>0.04</formula>
    </cfRule>
  </conditionalFormatting>
  <conditionalFormatting sqref="J1:J2 J111:J123 J126 J132:J133 J135:J140 J142:J143 J159:J161 J4:J102 J163:J1048576 J104:J107">
    <cfRule type="cellIs" dxfId="321" priority="76" operator="lessThan">
      <formula>-0.01</formula>
    </cfRule>
    <cfRule type="cellIs" dxfId="320" priority="77" operator="greaterThan">
      <formula>0.01</formula>
    </cfRule>
  </conditionalFormatting>
  <conditionalFormatting sqref="B5:B7 B46 B98:B101 B15:B34 B60:B72 B162:B169">
    <cfRule type="containsText" dxfId="319" priority="75" operator="containsText" text="tba">
      <formula>NOT(ISERROR(SEARCH("tba",B5)))</formula>
    </cfRule>
  </conditionalFormatting>
  <conditionalFormatting sqref="B9">
    <cfRule type="containsText" dxfId="318" priority="74" operator="containsText" text="tba">
      <formula>NOT(ISERROR(SEARCH("tba",B9)))</formula>
    </cfRule>
  </conditionalFormatting>
  <conditionalFormatting sqref="B11:B14">
    <cfRule type="containsText" dxfId="317" priority="73" operator="containsText" text="tba">
      <formula>NOT(ISERROR(SEARCH("tba",B11)))</formula>
    </cfRule>
  </conditionalFormatting>
  <conditionalFormatting sqref="B10">
    <cfRule type="containsText" dxfId="316" priority="72" operator="containsText" text="tba">
      <formula>NOT(ISERROR(SEARCH("tba",B10)))</formula>
    </cfRule>
  </conditionalFormatting>
  <conditionalFormatting sqref="B35:B38">
    <cfRule type="containsText" dxfId="315" priority="70" operator="containsText" text="tba">
      <formula>NOT(ISERROR(SEARCH("tba",B35)))</formula>
    </cfRule>
  </conditionalFormatting>
  <conditionalFormatting sqref="B39:B40">
    <cfRule type="containsText" dxfId="314" priority="69" operator="containsText" text="tba">
      <formula>NOT(ISERROR(SEARCH("tba",B39)))</formula>
    </cfRule>
  </conditionalFormatting>
  <conditionalFormatting sqref="B41">
    <cfRule type="containsText" dxfId="313" priority="68" operator="containsText" text="tba">
      <formula>NOT(ISERROR(SEARCH("tba",B41)))</formula>
    </cfRule>
  </conditionalFormatting>
  <conditionalFormatting sqref="B42:B45">
    <cfRule type="containsText" dxfId="312" priority="67" operator="containsText" text="tba">
      <formula>NOT(ISERROR(SEARCH("tba",B42)))</formula>
    </cfRule>
  </conditionalFormatting>
  <conditionalFormatting sqref="B48:B53">
    <cfRule type="containsText" dxfId="311" priority="66" operator="containsText" text="tba">
      <formula>NOT(ISERROR(SEARCH("tba",B48)))</formula>
    </cfRule>
  </conditionalFormatting>
  <conditionalFormatting sqref="B8">
    <cfRule type="containsText" dxfId="310" priority="65" operator="containsText" text="tba">
      <formula>NOT(ISERROR(SEARCH("tba",B8)))</formula>
    </cfRule>
  </conditionalFormatting>
  <conditionalFormatting sqref="B75:B78">
    <cfRule type="containsText" dxfId="309" priority="62" operator="containsText" text="tba">
      <formula>NOT(ISERROR(SEARCH("tba",B75)))</formula>
    </cfRule>
  </conditionalFormatting>
  <conditionalFormatting sqref="B79:B82">
    <cfRule type="containsText" dxfId="308" priority="61" operator="containsText" text="tba">
      <formula>NOT(ISERROR(SEARCH("tba",B79)))</formula>
    </cfRule>
  </conditionalFormatting>
  <conditionalFormatting sqref="B84">
    <cfRule type="containsText" dxfId="307" priority="60" operator="containsText" text="tba">
      <formula>NOT(ISERROR(SEARCH("tba",B84)))</formula>
    </cfRule>
  </conditionalFormatting>
  <conditionalFormatting sqref="B85">
    <cfRule type="containsText" dxfId="306" priority="59" operator="containsText" text="tba">
      <formula>NOT(ISERROR(SEARCH("tba",B85)))</formula>
    </cfRule>
  </conditionalFormatting>
  <conditionalFormatting sqref="B92:B96">
    <cfRule type="containsText" dxfId="305" priority="58" operator="containsText" text="tba">
      <formula>NOT(ISERROR(SEARCH("tba",B92)))</formula>
    </cfRule>
  </conditionalFormatting>
  <conditionalFormatting sqref="B89:B91">
    <cfRule type="containsText" dxfId="304" priority="57" operator="containsText" text="tba">
      <formula>NOT(ISERROR(SEARCH("tba",B89)))</formula>
    </cfRule>
  </conditionalFormatting>
  <conditionalFormatting sqref="B105:B107 B111:B112">
    <cfRule type="containsText" dxfId="303" priority="55" operator="containsText" text="tba">
      <formula>NOT(ISERROR(SEARCH("tba",B105)))</formula>
    </cfRule>
  </conditionalFormatting>
  <conditionalFormatting sqref="B151">
    <cfRule type="containsText" dxfId="302" priority="51" operator="containsText" text="tba">
      <formula>NOT(ISERROR(SEARCH("tba",B151)))</formula>
    </cfRule>
  </conditionalFormatting>
  <conditionalFormatting sqref="B113:B119 B126:B130 B121:B124 B133:B160">
    <cfRule type="containsText" dxfId="301" priority="53" operator="containsText" text="tba">
      <formula>NOT(ISERROR(SEARCH("tba",B113)))</formula>
    </cfRule>
  </conditionalFormatting>
  <conditionalFormatting sqref="B56:B58">
    <cfRule type="containsText" dxfId="300" priority="50" operator="containsText" text="tba">
      <formula>NOT(ISERROR(SEARCH("tba",B56)))</formula>
    </cfRule>
  </conditionalFormatting>
  <conditionalFormatting sqref="H108:H110">
    <cfRule type="cellIs" dxfId="299" priority="44" operator="lessThan">
      <formula>-0.04</formula>
    </cfRule>
    <cfRule type="cellIs" dxfId="298" priority="45" operator="greaterThan">
      <formula>0.04</formula>
    </cfRule>
  </conditionalFormatting>
  <conditionalFormatting sqref="J108:J110">
    <cfRule type="cellIs" dxfId="297" priority="42" operator="lessThan">
      <formula>-0.01</formula>
    </cfRule>
    <cfRule type="cellIs" dxfId="296" priority="43" operator="greaterThan">
      <formula>0.01</formula>
    </cfRule>
  </conditionalFormatting>
  <conditionalFormatting sqref="H124:H125">
    <cfRule type="cellIs" dxfId="295" priority="40" operator="lessThan">
      <formula>-0.04</formula>
    </cfRule>
    <cfRule type="cellIs" dxfId="294" priority="41" operator="greaterThan">
      <formula>0.04</formula>
    </cfRule>
  </conditionalFormatting>
  <conditionalFormatting sqref="J124:J125">
    <cfRule type="cellIs" dxfId="293" priority="38" operator="lessThan">
      <formula>-0.01</formula>
    </cfRule>
    <cfRule type="cellIs" dxfId="292" priority="39" operator="greaterThan">
      <formula>0.01</formula>
    </cfRule>
  </conditionalFormatting>
  <conditionalFormatting sqref="H127:H131">
    <cfRule type="cellIs" dxfId="291" priority="36" operator="lessThan">
      <formula>-0.04</formula>
    </cfRule>
    <cfRule type="cellIs" dxfId="290" priority="37" operator="greaterThan">
      <formula>0.04</formula>
    </cfRule>
  </conditionalFormatting>
  <conditionalFormatting sqref="J127:J131">
    <cfRule type="cellIs" dxfId="289" priority="34" operator="lessThan">
      <formula>-0.01</formula>
    </cfRule>
    <cfRule type="cellIs" dxfId="288" priority="35" operator="greaterThan">
      <formula>0.01</formula>
    </cfRule>
  </conditionalFormatting>
  <conditionalFormatting sqref="H134">
    <cfRule type="cellIs" dxfId="287" priority="32" operator="lessThan">
      <formula>-0.04</formula>
    </cfRule>
    <cfRule type="cellIs" dxfId="286" priority="33" operator="greaterThan">
      <formula>0.04</formula>
    </cfRule>
  </conditionalFormatting>
  <conditionalFormatting sqref="J134">
    <cfRule type="cellIs" dxfId="285" priority="30" operator="lessThan">
      <formula>-0.01</formula>
    </cfRule>
    <cfRule type="cellIs" dxfId="284" priority="31" operator="greaterThan">
      <formula>0.01</formula>
    </cfRule>
  </conditionalFormatting>
  <conditionalFormatting sqref="H141">
    <cfRule type="cellIs" dxfId="283" priority="28" operator="lessThan">
      <formula>-0.04</formula>
    </cfRule>
    <cfRule type="cellIs" dxfId="282" priority="29" operator="greaterThan">
      <formula>0.04</formula>
    </cfRule>
  </conditionalFormatting>
  <conditionalFormatting sqref="J141">
    <cfRule type="cellIs" dxfId="281" priority="26" operator="lessThan">
      <formula>-0.01</formula>
    </cfRule>
    <cfRule type="cellIs" dxfId="280" priority="27" operator="greaterThan">
      <formula>0.01</formula>
    </cfRule>
  </conditionalFormatting>
  <conditionalFormatting sqref="H144">
    <cfRule type="cellIs" dxfId="279" priority="24" operator="lessThan">
      <formula>-0.04</formula>
    </cfRule>
    <cfRule type="cellIs" dxfId="278" priority="25" operator="greaterThan">
      <formula>0.04</formula>
    </cfRule>
  </conditionalFormatting>
  <conditionalFormatting sqref="J144">
    <cfRule type="cellIs" dxfId="277" priority="22" operator="lessThan">
      <formula>-0.01</formula>
    </cfRule>
    <cfRule type="cellIs" dxfId="276" priority="23" operator="greaterThan">
      <formula>0.01</formula>
    </cfRule>
  </conditionalFormatting>
  <conditionalFormatting sqref="H145:H158">
    <cfRule type="cellIs" dxfId="275" priority="20" operator="lessThan">
      <formula>-0.04</formula>
    </cfRule>
    <cfRule type="cellIs" dxfId="274" priority="21" operator="greaterThan">
      <formula>0.04</formula>
    </cfRule>
  </conditionalFormatting>
  <conditionalFormatting sqref="J145:J158">
    <cfRule type="cellIs" dxfId="273" priority="18" operator="lessThan">
      <formula>-0.01</formula>
    </cfRule>
    <cfRule type="cellIs" dxfId="272" priority="19" operator="greaterThan">
      <formula>0.01</formula>
    </cfRule>
  </conditionalFormatting>
  <conditionalFormatting sqref="H162">
    <cfRule type="cellIs" dxfId="271" priority="16" operator="lessThan">
      <formula>-0.04</formula>
    </cfRule>
    <cfRule type="cellIs" dxfId="270" priority="17" operator="greaterThan">
      <formula>0.04</formula>
    </cfRule>
  </conditionalFormatting>
  <conditionalFormatting sqref="J162">
    <cfRule type="cellIs" dxfId="269" priority="14" operator="lessThan">
      <formula>-0.01</formula>
    </cfRule>
    <cfRule type="cellIs" dxfId="268" priority="15" operator="greaterThan">
      <formula>0.01</formula>
    </cfRule>
  </conditionalFormatting>
  <conditionalFormatting sqref="B102">
    <cfRule type="containsText" dxfId="267" priority="9" operator="containsText" text="tba">
      <formula>NOT(ISERROR(SEARCH("tba",B102)))</formula>
    </cfRule>
  </conditionalFormatting>
  <conditionalFormatting sqref="B132">
    <cfRule type="containsText" dxfId="266" priority="8" operator="containsText" text="tba">
      <formula>NOT(ISERROR(SEARCH("tba",B132)))</formula>
    </cfRule>
  </conditionalFormatting>
  <conditionalFormatting sqref="H16:H17">
    <cfRule type="cellIs" dxfId="265" priority="6" operator="lessThan">
      <formula>-0.04</formula>
    </cfRule>
    <cfRule type="cellIs" dxfId="264" priority="7" operator="greaterThan">
      <formula>0.04</formula>
    </cfRule>
  </conditionalFormatting>
  <conditionalFormatting sqref="B170:B180">
    <cfRule type="containsText" dxfId="263" priority="5" operator="containsText" text="tba">
      <formula>NOT(ISERROR(SEARCH("tba",B170)))</formula>
    </cfRule>
  </conditionalFormatting>
  <conditionalFormatting sqref="H103">
    <cfRule type="cellIs" dxfId="262" priority="3" operator="lessThan">
      <formula>-0.04</formula>
    </cfRule>
    <cfRule type="cellIs" dxfId="261" priority="4" operator="greaterThan">
      <formula>0.04</formula>
    </cfRule>
  </conditionalFormatting>
  <conditionalFormatting sqref="J103">
    <cfRule type="cellIs" dxfId="260" priority="1" operator="greaterThan">
      <formula>0.01</formula>
    </cfRule>
    <cfRule type="cellIs" dxfId="259" priority="2" operator="lessThan">
      <formula>-0.01</formula>
    </cfRule>
  </conditionalFormatting>
  <pageMargins left="0.17" right="0.19" top="0.17" bottom="0.18" header="0.17" footer="0.18"/>
  <pageSetup paperSize="9" scale="6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A2DC2F5354051449BD2F97E53F2507E" ma:contentTypeVersion="4" ma:contentTypeDescription="Ein neues Dokument erstellen." ma:contentTypeScope="" ma:versionID="47670e16b4da9b74b75b8200dfeae5d9">
  <xsd:schema xmlns:xsd="http://www.w3.org/2001/XMLSchema" xmlns:xs="http://www.w3.org/2001/XMLSchema" xmlns:p="http://schemas.microsoft.com/office/2006/metadata/properties" xmlns:ns2="9744c98c-c1b8-4661-8d10-5afacdffbc5b" xmlns:ns3="http://schemas.microsoft.com/sharepoint/v3/fields" targetNamespace="http://schemas.microsoft.com/office/2006/metadata/properties" ma:root="true" ma:fieldsID="dfb8fac0a00242299d430bfff1d61d76" ns2:_="" ns3:_="">
    <xsd:import namespace="9744c98c-c1b8-4661-8d10-5afacdffbc5b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Rev_x002e__x002d_Stand_x0020_FB_x0020_7_x002e_2_x002e_3"/>
                <xsd:element ref="ns2:Rev_x002e_" minOccurs="0"/>
                <xsd:element ref="ns3:_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44c98c-c1b8-4661-8d10-5afacdffbc5b" elementFormDefault="qualified">
    <xsd:import namespace="http://schemas.microsoft.com/office/2006/documentManagement/types"/>
    <xsd:import namespace="http://schemas.microsoft.com/office/infopath/2007/PartnerControls"/>
    <xsd:element name="Rev_x002e__x002d_Stand_x0020_FB_x0020_7_x002e_2_x002e_3" ma:index="8" ma:displayName="Rev.-Stand FB 7.2.3" ma:internalName="Rev_x002e__x002d_Stand_x0020_FB_x0020_7_x002e_2_x002e_3">
      <xsd:simpleType>
        <xsd:restriction base="dms:Text">
          <xsd:maxLength value="255"/>
        </xsd:restriction>
      </xsd:simpleType>
    </xsd:element>
    <xsd:element name="Rev_x002e_" ma:index="9" nillable="true" ma:displayName="Rev." ma:internalName="Rev_x002e_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0" nillable="true" ma:displayName="Status" ma:default="in Bearbeitung" ma:format="Dropdown" ma:internalName="_Status">
      <xsd:simpleType>
        <xsd:restriction base="dms:Choice">
          <xsd:enumeration value="in Bearbeitung"/>
          <xsd:enumeration value="freigegeben"/>
          <xsd:enumeration value="stillgelegt"/>
          <xsd:enumeration value="verworfen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tatus xmlns="http://schemas.microsoft.com/sharepoint/v3/fields">freigegeben</_Status>
    <Rev_x002e_ xmlns="9744c98c-c1b8-4661-8d10-5afacdffbc5b" xsi:nil="true"/>
    <Rev_x002e__x002d_Stand_x0020_FB_x0020_7_x002e_2_x002e_3 xmlns="9744c98c-c1b8-4661-8d10-5afacdffbc5b">BQ</Rev_x002e__x002d_Stand_x0020_FB_x0020_7_x002e_2_x002e_3>
  </documentManagement>
</p:properties>
</file>

<file path=customXml/itemProps1.xml><?xml version="1.0" encoding="utf-8"?>
<ds:datastoreItem xmlns:ds="http://schemas.openxmlformats.org/officeDocument/2006/customXml" ds:itemID="{1244413F-5A99-4B02-8D5B-13E21916E75E}"/>
</file>

<file path=customXml/itemProps2.xml><?xml version="1.0" encoding="utf-8"?>
<ds:datastoreItem xmlns:ds="http://schemas.openxmlformats.org/officeDocument/2006/customXml" ds:itemID="{7B4EFF31-F5C0-4C70-A2AF-E44F4CF78118}"/>
</file>

<file path=customXml/itemProps3.xml><?xml version="1.0" encoding="utf-8"?>
<ds:datastoreItem xmlns:ds="http://schemas.openxmlformats.org/officeDocument/2006/customXml" ds:itemID="{3F34B2DA-5DC2-483F-83CB-0A59D53AE606}"/>
</file>

<file path=customXml/itemProps4.xml><?xml version="1.0" encoding="utf-8"?>
<ds:datastoreItem xmlns:ds="http://schemas.openxmlformats.org/officeDocument/2006/customXml" ds:itemID="{63E7A34F-6D5A-43CB-A336-E21A3E9DD221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13</vt:i4>
      </vt:variant>
    </vt:vector>
  </HeadingPairs>
  <TitlesOfParts>
    <vt:vector size="29" baseType="lpstr">
      <vt:lpstr>Übersicht</vt:lpstr>
      <vt:lpstr>TL³</vt:lpstr>
      <vt:lpstr>AC³</vt:lpstr>
      <vt:lpstr>PC³</vt:lpstr>
      <vt:lpstr>AN</vt:lpstr>
      <vt:lpstr>OV²</vt:lpstr>
      <vt:lpstr>Sonstiges</vt:lpstr>
      <vt:lpstr>EBM00256</vt:lpstr>
      <vt:lpstr>EBM00255</vt:lpstr>
      <vt:lpstr>EBM00231</vt:lpstr>
      <vt:lpstr>EBM00239</vt:lpstr>
      <vt:lpstr>EBM00241</vt:lpstr>
      <vt:lpstr>EBM00202</vt:lpstr>
      <vt:lpstr>Konfigurations-Bedingungen</vt:lpstr>
      <vt:lpstr>TL³ RS232 Konfig-Übersicht</vt:lpstr>
      <vt:lpstr>AC³ RS232 Konfig-Übersicht</vt:lpstr>
      <vt:lpstr>AC³!Druckbereich</vt:lpstr>
      <vt:lpstr>AN!Druckbereich</vt:lpstr>
      <vt:lpstr>'EBM00202'!Druckbereich</vt:lpstr>
      <vt:lpstr>'EBM00231'!Druckbereich</vt:lpstr>
      <vt:lpstr>'EBM00241'!Druckbereich</vt:lpstr>
      <vt:lpstr>'EBM00255'!Druckbereich</vt:lpstr>
      <vt:lpstr>'EBM00256'!Druckbereich</vt:lpstr>
      <vt:lpstr>OV²!Druckbereich</vt:lpstr>
      <vt:lpstr>PC³!Druckbereich</vt:lpstr>
      <vt:lpstr>Sonstiges!Druckbereich</vt:lpstr>
      <vt:lpstr>TL³!Druckbereich</vt:lpstr>
      <vt:lpstr>Übersicht!Druckbereich</vt:lpstr>
      <vt:lpstr>'EBM00256'!Drucktitel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---</dc:title>
  <dc:creator>Dennis Hollex</dc:creator>
  <cp:lastModifiedBy>Danny Bronke</cp:lastModifiedBy>
  <cp:lastPrinted>2019-01-22T17:08:37Z</cp:lastPrinted>
  <dcterms:created xsi:type="dcterms:W3CDTF">2015-10-02T12:08:38Z</dcterms:created>
  <dcterms:modified xsi:type="dcterms:W3CDTF">2019-01-24T10:56:46Z</dcterms:modified>
  <cp:contentStatus>freigegeben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0x0101009A2DC2F5354051449BD2F97E53F2507E</vt:lpwstr>
  </property>
</Properties>
</file>